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59" activeTab="3"/>
  </bookViews>
  <sheets>
    <sheet name="Нормы с 1,5-3 лет" sheetId="1" r:id="rId1"/>
    <sheet name="1,5-3 лет" sheetId="2" r:id="rId2"/>
    <sheet name="Нормы 3-7 лет" sheetId="3" r:id="rId3"/>
    <sheet name="Дети 3-7 лет" sheetId="4" r:id="rId4"/>
    <sheet name="Лист1" sheetId="5" r:id="rId5"/>
  </sheets>
  <definedNames>
    <definedName name="_xlnm.Print_Area" localSheetId="1">'1,5-3 лет'!$A$1:$H$880</definedName>
    <definedName name="_xlnm.Print_Area" localSheetId="3">'Дети 3-7 лет'!$A$1:$H$884</definedName>
    <definedName name="_xlnm.Print_Area" localSheetId="2">'Нормы 3-7 лет'!$A$1:$AE$692</definedName>
    <definedName name="_xlnm.Print_Area" localSheetId="0">'Нормы с 1,5-3 лет'!$A$1:$AD$692</definedName>
  </definedNames>
  <calcPr fullCalcOnLoad="1"/>
</workbook>
</file>

<file path=xl/sharedStrings.xml><?xml version="1.0" encoding="utf-8"?>
<sst xmlns="http://schemas.openxmlformats.org/spreadsheetml/2006/main" count="5399" uniqueCount="274">
  <si>
    <t>Б</t>
  </si>
  <si>
    <t>Ж</t>
  </si>
  <si>
    <t>У</t>
  </si>
  <si>
    <t>Эн/ц</t>
  </si>
  <si>
    <t>С</t>
  </si>
  <si>
    <t xml:space="preserve">Завтрак </t>
  </si>
  <si>
    <t xml:space="preserve">Итого </t>
  </si>
  <si>
    <t>Чай с сахаром</t>
  </si>
  <si>
    <t xml:space="preserve">Обед </t>
  </si>
  <si>
    <t>Чай с лимоном</t>
  </si>
  <si>
    <t>Итого за день</t>
  </si>
  <si>
    <t xml:space="preserve">Суточная потребность </t>
  </si>
  <si>
    <t>Процент удовлетворения суточной потребности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</si>
  <si>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</si>
  <si>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</si>
  <si>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</si>
  <si>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</si>
  <si>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</si>
  <si>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</si>
  <si>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</si>
  <si>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Суп молочный с макаронными изделиями</t>
  </si>
  <si>
    <t>День 9</t>
  </si>
  <si>
    <t>День 10</t>
  </si>
  <si>
    <t>Наименование блюда</t>
  </si>
  <si>
    <t>Пищевые вещества (г)</t>
  </si>
  <si>
    <t>200</t>
  </si>
  <si>
    <t>100</t>
  </si>
  <si>
    <t>150</t>
  </si>
  <si>
    <t>80</t>
  </si>
  <si>
    <t>Итого</t>
  </si>
  <si>
    <t>№ ТК</t>
  </si>
  <si>
    <t>Обед</t>
  </si>
  <si>
    <t>ГП</t>
  </si>
  <si>
    <t>Итого за 1 дней</t>
  </si>
  <si>
    <t>60</t>
  </si>
  <si>
    <t>Омлет натуральный с маслом</t>
  </si>
  <si>
    <t>Бутерброд  с маслом</t>
  </si>
  <si>
    <t>Картофельное пюре</t>
  </si>
  <si>
    <t>Бутерброд  с маслом и сыром</t>
  </si>
  <si>
    <t>Рассольник ленинградский, с мясом и со сметаной</t>
  </si>
  <si>
    <t>Дети  3-7 лет, 12 часовое пребывание</t>
  </si>
  <si>
    <t>Свекольник с мясом, со сметаной</t>
  </si>
  <si>
    <t>Суп молочный с крупой</t>
  </si>
  <si>
    <t>Компот из сухофруктов</t>
  </si>
  <si>
    <t>8</t>
  </si>
  <si>
    <t>2</t>
  </si>
  <si>
    <t>Голубцы  ленивые</t>
  </si>
  <si>
    <t>Норма продуктов питания согласно санитарным нормам и правилам</t>
  </si>
  <si>
    <t>Неделя: первая</t>
  </si>
  <si>
    <t>Возрастная категория: 3-7 лет, 12 часовое пребывание</t>
  </si>
  <si>
    <t>Прием пищи, наименование блюда</t>
  </si>
  <si>
    <t>Энергетическая ценность (ккал)</t>
  </si>
  <si>
    <t>Неделя: вторая</t>
  </si>
  <si>
    <t>2 завтрак</t>
  </si>
  <si>
    <t>3</t>
  </si>
  <si>
    <t>9</t>
  </si>
  <si>
    <t>Хлеб пшеничный или хлеб зерновой</t>
  </si>
  <si>
    <t>Сушка на сметане</t>
  </si>
  <si>
    <t>Хлеб ржаной (ржано-пшеничный)</t>
  </si>
  <si>
    <t>70</t>
  </si>
  <si>
    <t>Дети 3-7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</si>
  <si>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3-7 лет</t>
  </si>
  <si>
    <t>Дети  1,5-3 лет, 12 часовое пребывание</t>
  </si>
  <si>
    <t>Процент удовлетворения норм питания</t>
  </si>
  <si>
    <t>Возрастная категория: 1,5-3 лет, 12 часовое пребывание</t>
  </si>
  <si>
    <t>Средние показатели содержания пищевых веществ, энергетической ценности и микронутриентов рациона питания детей 1,5-3 лет</t>
  </si>
  <si>
    <t>Соус красный основной</t>
  </si>
  <si>
    <t>При поступлении на предприятие других видов фруктов-можно производить их замену.</t>
  </si>
  <si>
    <t xml:space="preserve">Примечание: ГП - готовый продукт.   </t>
  </si>
  <si>
    <t>Кофейный напиток с молоком</t>
  </si>
  <si>
    <t>Расчет продуктов питания ( в г раммах) на одну порцию, на одного ребенка</t>
  </si>
  <si>
    <t>Расчет продуктов питания (в граммах), на одну порцию, на одного ребенка</t>
  </si>
  <si>
    <t>Суп "Харчо" с мясом и со сметаной</t>
  </si>
  <si>
    <t>Рагу из овощей</t>
  </si>
  <si>
    <t>Котлеты, биточки, шницели из говядины</t>
  </si>
  <si>
    <t xml:space="preserve">Суп картофельный с бобовыми, с мясом </t>
  </si>
  <si>
    <t xml:space="preserve">День 1 </t>
  </si>
  <si>
    <t>Кофейный напиток, брутто, гр</t>
  </si>
  <si>
    <t>Какао-порошок, брутто, гр</t>
  </si>
  <si>
    <t>Фрукты (плоды) сухие, брутто, гр</t>
  </si>
  <si>
    <t>Сахар, брутто, гр</t>
  </si>
  <si>
    <t>Масло растительное, брутто, гр</t>
  </si>
  <si>
    <t>Сметана, брутто, гр</t>
  </si>
  <si>
    <t>Сыр, брутто, гр</t>
  </si>
  <si>
    <t>Рыба, нетто, гр*</t>
  </si>
  <si>
    <t>Чай, брутто, гр</t>
  </si>
  <si>
    <t>День 11</t>
  </si>
  <si>
    <t>День 12</t>
  </si>
  <si>
    <t>Булочка домашняя</t>
  </si>
  <si>
    <t>День 13</t>
  </si>
  <si>
    <t>День 14</t>
  </si>
  <si>
    <t>День 15</t>
  </si>
  <si>
    <t>День 16</t>
  </si>
  <si>
    <t>День 17</t>
  </si>
  <si>
    <t>День 18</t>
  </si>
  <si>
    <t>День 19</t>
  </si>
  <si>
    <t>День 20</t>
  </si>
  <si>
    <t>Процент отклонения от рекомендуемых норм питания</t>
  </si>
  <si>
    <t>Итого за 20 дней</t>
  </si>
  <si>
    <t>Среднеее значение за 20 дней</t>
  </si>
  <si>
    <t>250</t>
  </si>
  <si>
    <t>Икра кабачковая</t>
  </si>
  <si>
    <t>35</t>
  </si>
  <si>
    <t>Макаронные изделия, запеченные с сыром</t>
  </si>
  <si>
    <t>Кондитерские изделия (печенье, или вафли, или пряники, или др.)</t>
  </si>
  <si>
    <t>Кондитерские изделия (печенье, или вафли, или пряники, или  др.)</t>
  </si>
  <si>
    <t>Яблоко, груша, банан или др.</t>
  </si>
  <si>
    <t>1/10 шт.</t>
  </si>
  <si>
    <t>1/17 шт.</t>
  </si>
  <si>
    <t>1/4 шт.</t>
  </si>
  <si>
    <t>Картофель, нетто, гр*</t>
  </si>
  <si>
    <t>Выход блюда</t>
  </si>
  <si>
    <t>Витамин С, мг</t>
  </si>
  <si>
    <t>Мясо, нетто, гр*</t>
  </si>
  <si>
    <t>90</t>
  </si>
  <si>
    <t>180</t>
  </si>
  <si>
    <t>Хлеб пшеничный, брутто, гр</t>
  </si>
  <si>
    <t>Хлеб ржаной, брутто, гр</t>
  </si>
  <si>
    <t>Мука пшеничная, брутто, гр</t>
  </si>
  <si>
    <t>Крахмал, брутто, гр</t>
  </si>
  <si>
    <t>Крупы,бобовые, брутто, гр</t>
  </si>
  <si>
    <t>Макаронные изд, брутто, гр</t>
  </si>
  <si>
    <t>Соки , брутто, гр</t>
  </si>
  <si>
    <t>Кондитерские изд., брутто, гр</t>
  </si>
  <si>
    <t>Масло сливочное, брутто, гр</t>
  </si>
  <si>
    <t>Яйцо , брутто, гр</t>
  </si>
  <si>
    <t>Молоко,  к/м прод., брутто, гр</t>
  </si>
  <si>
    <t>Творог, брутто, гр</t>
  </si>
  <si>
    <t>Колбасные изд, брутто, гр</t>
  </si>
  <si>
    <t>Птица, нетто, гр*</t>
  </si>
  <si>
    <t>Мука пшеничная , брутто, гр</t>
  </si>
  <si>
    <t>Крупы, бобовые, брутто, гр</t>
  </si>
  <si>
    <t>Макаронные изделия , брутто, гр</t>
  </si>
  <si>
    <t>Соки, брутто, гр</t>
  </si>
  <si>
    <t>Яйцо, брутто, гр</t>
  </si>
  <si>
    <t xml:space="preserve">Молоко,  к/м продукты, брутто, гр </t>
  </si>
  <si>
    <t xml:space="preserve">Творог, брутто, гр  </t>
  </si>
  <si>
    <t>Дрожжи , брутто, гр</t>
  </si>
  <si>
    <t>Дрожжи, брутто, гр</t>
  </si>
  <si>
    <t>Кондитерские изд, брутто, гр</t>
  </si>
  <si>
    <t>Колбасные изд., брутто, гр</t>
  </si>
  <si>
    <t>Процент отклонения от расчетных данных</t>
  </si>
  <si>
    <t>Фрукты (плоды) свежие, нетто, гр</t>
  </si>
  <si>
    <t>Напитки витам.брутто, гр</t>
  </si>
  <si>
    <t>Ужин</t>
  </si>
  <si>
    <t>Полдник</t>
  </si>
  <si>
    <t>Напиток из шиповника</t>
  </si>
  <si>
    <t>Горошница</t>
  </si>
  <si>
    <t>Норма соли пищевой поваренной на весь день 4 гр.</t>
  </si>
  <si>
    <t>Ежедневная нормы выдачи соли пищевой поваренной - 4 гр.</t>
  </si>
  <si>
    <t>Норма соли пищевой поваренной на весь день 6 гр.</t>
  </si>
  <si>
    <t>Ежедневная нормы выдачи соли пищевой поваренной - 6 гр.</t>
  </si>
  <si>
    <t xml:space="preserve">Макаронные изделия отварные </t>
  </si>
  <si>
    <t xml:space="preserve">Компот из свежих фруктов </t>
  </si>
  <si>
    <t>Компот из свежих фруктов</t>
  </si>
  <si>
    <t>30</t>
  </si>
  <si>
    <t>13-16</t>
  </si>
  <si>
    <t>1/20 шт.</t>
  </si>
  <si>
    <t>1.8-2.0</t>
  </si>
  <si>
    <t>1.9-2.2</t>
  </si>
  <si>
    <t>2.2-2.6</t>
  </si>
  <si>
    <t>День 1</t>
  </si>
  <si>
    <t>Каша вязкая ячневая молочная</t>
  </si>
  <si>
    <t xml:space="preserve">Котлеты, биточки, шницели рыбные </t>
  </si>
  <si>
    <t>Ватрушка с творогом из дрожжевого теста</t>
  </si>
  <si>
    <t>Каша гречневая рассыпчатая</t>
  </si>
  <si>
    <t>Пудинг творожный с молоком сгущенным</t>
  </si>
  <si>
    <t>"Гребешок" или ватрушка с джемом (или повидлом) из дрожжевого теста</t>
  </si>
  <si>
    <t>Гуляш</t>
  </si>
  <si>
    <t>Суп крестьянский с крупой, с мясом и со сметаной</t>
  </si>
  <si>
    <t>Картофель тушеный</t>
  </si>
  <si>
    <t>Чай с молоком</t>
  </si>
  <si>
    <t>Кисломолочный напиток или молоко кипяченое</t>
  </si>
  <si>
    <t>Бефстроганов</t>
  </si>
  <si>
    <t>Солянка сборная мясная со сметаной</t>
  </si>
  <si>
    <t>Борщ с капустой и картофелем, с мясом и со сметаной</t>
  </si>
  <si>
    <t>Каша  "Дружба"</t>
  </si>
  <si>
    <t>Щи из свежей капусты с картофелем, с мясом и со сметаной</t>
  </si>
  <si>
    <t>Рыба, тушеная в томате с овощами</t>
  </si>
  <si>
    <t>Тефтели из говядины с рисом</t>
  </si>
  <si>
    <t>Суп с рыбными консервами</t>
  </si>
  <si>
    <t>120</t>
  </si>
  <si>
    <t xml:space="preserve">Сок фруктовый </t>
  </si>
  <si>
    <t>День:  (день 2)</t>
  </si>
  <si>
    <t>День:  (день 7)</t>
  </si>
  <si>
    <t>День:  (день 11)</t>
  </si>
  <si>
    <t>День:  (день 16)</t>
  </si>
  <si>
    <t>День:  (день 1)</t>
  </si>
  <si>
    <t>День:  (день 10)</t>
  </si>
  <si>
    <t>День:  (день 12)</t>
  </si>
  <si>
    <t>День:  (день 17)</t>
  </si>
  <si>
    <t>День:  (день 4)</t>
  </si>
  <si>
    <t>День:  (день 6)</t>
  </si>
  <si>
    <t>День:  (день 13)</t>
  </si>
  <si>
    <t>День:  (день 18)</t>
  </si>
  <si>
    <t>День:  (день 3)</t>
  </si>
  <si>
    <t>День:  (день 8)</t>
  </si>
  <si>
    <t>День:  (день 14)</t>
  </si>
  <si>
    <t>День:  (день 19)</t>
  </si>
  <si>
    <t>День:  (день 5)</t>
  </si>
  <si>
    <t>День:  (день 9)</t>
  </si>
  <si>
    <t>День:  (день 15)</t>
  </si>
  <si>
    <t>День:  (день 20)</t>
  </si>
  <si>
    <t>Каша  пшенная молочная вязкая</t>
  </si>
  <si>
    <t>Каша из хлопьев овсяных "Геркулес" вязкая</t>
  </si>
  <si>
    <t>Каша рисовая молочная вязкая</t>
  </si>
  <si>
    <t>Бутерброд с повидлом</t>
  </si>
  <si>
    <t>Компот из изюма</t>
  </si>
  <si>
    <t>Суп картофельный с мясными фрикадельками</t>
  </si>
  <si>
    <t>Капуста тушеная с мясом</t>
  </si>
  <si>
    <t>Коржик молочный</t>
  </si>
  <si>
    <t>Суп картофельный с макаронными изделиями с мясом птицы</t>
  </si>
  <si>
    <t>Запеканка овощная</t>
  </si>
  <si>
    <t>Салат из морской капусты</t>
  </si>
  <si>
    <t>Творожники песочные (сочень)</t>
  </si>
  <si>
    <t>Азу</t>
  </si>
  <si>
    <t xml:space="preserve">Суп "Шахтерский", с мясом </t>
  </si>
  <si>
    <t>Булочка дорожная</t>
  </si>
  <si>
    <t>Каша манная молочная вязкая</t>
  </si>
  <si>
    <t>Хачапури с сыром</t>
  </si>
  <si>
    <t>Каша пшеничная молочная вязкая</t>
  </si>
  <si>
    <t>Пирог "Королевский"</t>
  </si>
  <si>
    <t>Шанежка наливная</t>
  </si>
  <si>
    <t>Пудинг творожно яблочный с молоком сгущенным</t>
  </si>
  <si>
    <t xml:space="preserve">Какао с молоком </t>
  </si>
  <si>
    <t>Компот из кураги</t>
  </si>
  <si>
    <t>Икра морковная</t>
  </si>
  <si>
    <t xml:space="preserve">Маринад овощной с томатом </t>
  </si>
  <si>
    <t>Икра свекольная</t>
  </si>
  <si>
    <t>Икра свекольная с морковью</t>
  </si>
  <si>
    <t>Соус сметанный</t>
  </si>
  <si>
    <t>Каша рассыпчатая</t>
  </si>
  <si>
    <t>Кисель из концентрата на плодовых или ягодных концентратах</t>
  </si>
  <si>
    <t>Плов вегетарианский с сухофруктами</t>
  </si>
  <si>
    <t>253</t>
  </si>
  <si>
    <t>Плов с птицей</t>
  </si>
  <si>
    <t>Суп картофельный с клецками, с мясом птицы</t>
  </si>
  <si>
    <t>Суп-лапша домашняя с мясом птицы</t>
  </si>
  <si>
    <t>Суп "Волна" с мясом птицы</t>
  </si>
  <si>
    <t>Борщ с фасолью и картофелем, с мясом и со сметаной</t>
  </si>
  <si>
    <t>25</t>
  </si>
  <si>
    <t>140</t>
  </si>
  <si>
    <t>Жаркое по-домашнему</t>
  </si>
  <si>
    <t>155</t>
  </si>
  <si>
    <t>215</t>
  </si>
  <si>
    <t>Котлеты, биточки, шницели куриные</t>
  </si>
  <si>
    <t>175</t>
  </si>
  <si>
    <t>235</t>
  </si>
  <si>
    <t>Сырники из творога с молоком сгущенным</t>
  </si>
  <si>
    <t>Каша  "Рябчик"</t>
  </si>
  <si>
    <t>Конфеты, или мармелад, или зефир</t>
  </si>
  <si>
    <t>Конфеты, или мармелад,или зефир</t>
  </si>
  <si>
    <t>15</t>
  </si>
  <si>
    <t>85</t>
  </si>
  <si>
    <t>Рыба, запеченная в омлете</t>
  </si>
  <si>
    <t>85%-205-174</t>
  </si>
  <si>
    <t>85%-260-221</t>
  </si>
  <si>
    <t>Овощи, зелень, нетто, гр* 85%</t>
  </si>
  <si>
    <t>40</t>
  </si>
  <si>
    <t>33</t>
  </si>
  <si>
    <t>42</t>
  </si>
  <si>
    <t xml:space="preserve">Рыба, запеченная под молочным соусом </t>
  </si>
  <si>
    <t>Картофель отварной</t>
  </si>
  <si>
    <t>78,ГП</t>
  </si>
  <si>
    <t>60 (30)</t>
  </si>
  <si>
    <t>Суп из овощей с мясом и со сметаной</t>
  </si>
  <si>
    <t>Пирожок печеный из дрожжевого теста с овощным фаршем</t>
  </si>
  <si>
    <t>Плов с мясом</t>
  </si>
  <si>
    <t>Зеленый горошек консервированный отварной</t>
  </si>
  <si>
    <t>Кукуруза консервированная отварная</t>
  </si>
  <si>
    <t>75</t>
  </si>
  <si>
    <r>
      <rPr>
        <vertAlign val="superscript"/>
        <sz val="70"/>
        <color indexed="8"/>
        <rFont val="Times New Roman"/>
        <family val="1"/>
      </rPr>
      <t>1</t>
    </r>
    <r>
      <rPr>
        <sz val="70"/>
        <color indexed="8"/>
        <rFont val="Times New Roman"/>
        <family val="1"/>
      </rPr>
      <t xml:space="preserve"> - расчет содержания пищевых веществ, калорийности и микронутриентов произведен с учетом отходов.</t>
    </r>
  </si>
  <si>
    <t>Булочка домашняя, кондитерские изделия или (печенье, или вафли, или пряники, или  др.)</t>
  </si>
  <si>
    <t>Каша кукурузная молочная вязкаяили каша из хлопьев овсяных "Геркулес" вязкая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</si>
</sst>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_(* #,##0.000_);_(* \(#,##0.000\);_(* &quot;-&quot;??_);_(@_)"/>
    <numFmt numFmtId="200" formatCode="_(* #,##0.0_);_(* \(#,##0.0\);_(* &quot;-&quot;??_);_(@_)"/>
    <numFmt numFmtId="201" formatCode="#,##0.0&quot;р.&quot;"/>
    <numFmt numFmtId="202" formatCode="#,##0.0"/>
    <numFmt numFmtId="203" formatCode="#,##0.00&quot;р.&quot;"/>
    <numFmt numFmtId="204" formatCode="#,##0.000&quot;р.&quot;"/>
    <numFmt numFmtId="205" formatCode="#,##0.000;[Red]#,##0.000"/>
    <numFmt numFmtId="206" formatCode="0;[Red]0"/>
    <numFmt numFmtId="207" formatCode="#,##0.000"/>
    <numFmt numFmtId="208" formatCode="#,##0&quot;р.&quot;"/>
  </numFmts>
  <fonts count="56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sz val="70"/>
      <color indexed="8"/>
      <name val="Times New Roman"/>
      <family val="1"/>
    </font>
    <font>
      <vertAlign val="superscript"/>
      <sz val="7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50"/>
      <color indexed="8"/>
      <name val="Times New Roman"/>
      <family val="1"/>
    </font>
    <font>
      <b/>
      <sz val="70"/>
      <color indexed="8"/>
      <name val="Times New Roman"/>
      <family val="1"/>
    </font>
    <font>
      <b/>
      <sz val="50"/>
      <color indexed="8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50"/>
      <color theme="1"/>
      <name val="Times New Roman"/>
      <family val="1"/>
    </font>
    <font>
      <sz val="70"/>
      <color theme="1"/>
      <name val="Times New Roman"/>
      <family val="1"/>
    </font>
    <font>
      <b/>
      <sz val="70"/>
      <color theme="1"/>
      <name val="Times New Roman"/>
      <family val="1"/>
    </font>
    <font>
      <b/>
      <sz val="50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12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 horizontal="center" vertical="top" wrapText="1"/>
    </xf>
    <xf numFmtId="2" fontId="50" fillId="0" borderId="0" xfId="0" applyNumberFormat="1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50" fillId="0" borderId="16" xfId="0" applyNumberFormat="1" applyFont="1" applyFill="1" applyBorder="1" applyAlignment="1">
      <alignment wrapText="1"/>
    </xf>
    <xf numFmtId="2" fontId="50" fillId="0" borderId="10" xfId="0" applyNumberFormat="1" applyFont="1" applyFill="1" applyBorder="1" applyAlignment="1">
      <alignment wrapText="1"/>
    </xf>
    <xf numFmtId="2" fontId="51" fillId="0" borderId="16" xfId="0" applyNumberFormat="1" applyFont="1" applyFill="1" applyBorder="1" applyAlignment="1">
      <alignment wrapText="1"/>
    </xf>
    <xf numFmtId="2" fontId="50" fillId="0" borderId="11" xfId="0" applyNumberFormat="1" applyFont="1" applyFill="1" applyBorder="1" applyAlignment="1">
      <alignment wrapText="1"/>
    </xf>
    <xf numFmtId="2" fontId="51" fillId="0" borderId="11" xfId="0" applyNumberFormat="1" applyFont="1" applyFill="1" applyBorder="1" applyAlignment="1">
      <alignment wrapText="1"/>
    </xf>
    <xf numFmtId="2" fontId="50" fillId="0" borderId="12" xfId="0" applyNumberFormat="1" applyFont="1" applyFill="1" applyBorder="1" applyAlignment="1">
      <alignment wrapText="1"/>
    </xf>
    <xf numFmtId="192" fontId="49" fillId="0" borderId="10" xfId="0" applyNumberFormat="1" applyFont="1" applyBorder="1" applyAlignment="1">
      <alignment horizontal="center" wrapText="1"/>
    </xf>
    <xf numFmtId="192" fontId="49" fillId="0" borderId="12" xfId="0" applyNumberFormat="1" applyFont="1" applyBorder="1" applyAlignment="1">
      <alignment horizontal="center" wrapText="1"/>
    </xf>
    <xf numFmtId="192" fontId="2" fillId="0" borderId="10" xfId="0" applyNumberFormat="1" applyFont="1" applyBorder="1" applyAlignment="1">
      <alignment horizontal="center" wrapText="1"/>
    </xf>
    <xf numFmtId="192" fontId="2" fillId="0" borderId="12" xfId="0" applyNumberFormat="1" applyFont="1" applyBorder="1" applyAlignment="1">
      <alignment horizontal="center" wrapText="1"/>
    </xf>
    <xf numFmtId="192" fontId="2" fillId="0" borderId="10" xfId="0" applyNumberFormat="1" applyFont="1" applyBorder="1" applyAlignment="1">
      <alignment horizontal="center" vertical="center" wrapText="1"/>
    </xf>
    <xf numFmtId="192" fontId="2" fillId="0" borderId="12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>
      <alignment horizontal="center" wrapText="1"/>
    </xf>
    <xf numFmtId="1" fontId="51" fillId="0" borderId="12" xfId="0" applyNumberFormat="1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52" fillId="0" borderId="0" xfId="0" applyNumberFormat="1" applyFont="1" applyFill="1" applyAlignment="1">
      <alignment/>
    </xf>
    <xf numFmtId="2" fontId="51" fillId="0" borderId="0" xfId="0" applyNumberFormat="1" applyFont="1" applyFill="1" applyAlignment="1">
      <alignment/>
    </xf>
    <xf numFmtId="49" fontId="51" fillId="0" borderId="0" xfId="0" applyNumberFormat="1" applyFont="1" applyFill="1" applyAlignment="1">
      <alignment/>
    </xf>
    <xf numFmtId="2" fontId="52" fillId="0" borderId="17" xfId="0" applyNumberFormat="1" applyFont="1" applyFill="1" applyBorder="1" applyAlignment="1">
      <alignment horizontal="center" wrapText="1"/>
    </xf>
    <xf numFmtId="2" fontId="52" fillId="0" borderId="10" xfId="0" applyNumberFormat="1" applyFont="1" applyFill="1" applyBorder="1" applyAlignment="1">
      <alignment horizontal="center" wrapText="1"/>
    </xf>
    <xf numFmtId="0" fontId="52" fillId="0" borderId="10" xfId="0" applyNumberFormat="1" applyFont="1" applyFill="1" applyBorder="1" applyAlignment="1">
      <alignment horizontal="center" wrapText="1"/>
    </xf>
    <xf numFmtId="1" fontId="52" fillId="0" borderId="10" xfId="0" applyNumberFormat="1" applyFont="1" applyFill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 wrapText="1"/>
    </xf>
    <xf numFmtId="1" fontId="52" fillId="0" borderId="18" xfId="0" applyNumberFormat="1" applyFont="1" applyFill="1" applyBorder="1" applyAlignment="1">
      <alignment horizontal="center" wrapText="1"/>
    </xf>
    <xf numFmtId="1" fontId="51" fillId="0" borderId="0" xfId="0" applyNumberFormat="1" applyFont="1" applyFill="1" applyAlignment="1">
      <alignment/>
    </xf>
    <xf numFmtId="0" fontId="51" fillId="0" borderId="12" xfId="0" applyNumberFormat="1" applyFont="1" applyFill="1" applyBorder="1" applyAlignment="1">
      <alignment horizontal="center" wrapText="1"/>
    </xf>
    <xf numFmtId="2" fontId="51" fillId="0" borderId="11" xfId="0" applyNumberFormat="1" applyFont="1" applyFill="1" applyBorder="1" applyAlignment="1">
      <alignment horizontal="center" wrapText="1"/>
    </xf>
    <xf numFmtId="0" fontId="51" fillId="0" borderId="10" xfId="0" applyNumberFormat="1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wrapText="1"/>
    </xf>
    <xf numFmtId="49" fontId="51" fillId="0" borderId="10" xfId="0" applyNumberFormat="1" applyFont="1" applyFill="1" applyBorder="1" applyAlignment="1">
      <alignment horizontal="center" wrapText="1"/>
    </xf>
    <xf numFmtId="2" fontId="51" fillId="0" borderId="16" xfId="0" applyNumberFormat="1" applyFont="1" applyFill="1" applyBorder="1" applyAlignment="1">
      <alignment horizontal="center" wrapText="1"/>
    </xf>
    <xf numFmtId="49" fontId="51" fillId="0" borderId="12" xfId="0" applyNumberFormat="1" applyFont="1" applyFill="1" applyBorder="1" applyAlignment="1">
      <alignment horizontal="center" wrapText="1"/>
    </xf>
    <xf numFmtId="0" fontId="51" fillId="0" borderId="10" xfId="0" applyNumberFormat="1" applyFont="1" applyFill="1" applyBorder="1" applyAlignment="1">
      <alignment horizontal="center" wrapText="1"/>
    </xf>
    <xf numFmtId="2" fontId="51" fillId="0" borderId="12" xfId="0" applyNumberFormat="1" applyFont="1" applyFill="1" applyBorder="1" applyAlignment="1">
      <alignment horizontal="center" wrapText="1"/>
    </xf>
    <xf numFmtId="2" fontId="51" fillId="0" borderId="12" xfId="0" applyNumberFormat="1" applyFont="1" applyFill="1" applyBorder="1" applyAlignment="1">
      <alignment wrapText="1"/>
    </xf>
    <xf numFmtId="3" fontId="51" fillId="0" borderId="10" xfId="0" applyNumberFormat="1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wrapText="1"/>
    </xf>
    <xf numFmtId="2" fontId="52" fillId="0" borderId="10" xfId="0" applyNumberFormat="1" applyFont="1" applyFill="1" applyBorder="1" applyAlignment="1">
      <alignment horizontal="left" wrapText="1"/>
    </xf>
    <xf numFmtId="2" fontId="51" fillId="0" borderId="10" xfId="0" applyNumberFormat="1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center" wrapText="1"/>
    </xf>
    <xf numFmtId="2" fontId="51" fillId="0" borderId="0" xfId="0" applyNumberFormat="1" applyFont="1" applyFill="1" applyBorder="1" applyAlignment="1">
      <alignment horizontal="center" wrapText="1"/>
    </xf>
    <xf numFmtId="1" fontId="52" fillId="0" borderId="19" xfId="0" applyNumberFormat="1" applyFont="1" applyFill="1" applyBorder="1" applyAlignment="1">
      <alignment horizontal="center" wrapText="1"/>
    </xf>
    <xf numFmtId="0" fontId="51" fillId="0" borderId="12" xfId="57" applyNumberFormat="1" applyFont="1" applyFill="1" applyBorder="1" applyAlignment="1">
      <alignment horizontal="center" wrapText="1"/>
      <protection/>
    </xf>
    <xf numFmtId="2" fontId="51" fillId="0" borderId="16" xfId="57" applyNumberFormat="1" applyFont="1" applyFill="1" applyBorder="1" applyAlignment="1">
      <alignment wrapText="1"/>
      <protection/>
    </xf>
    <xf numFmtId="1" fontId="51" fillId="0" borderId="10" xfId="57" applyNumberFormat="1" applyFont="1" applyFill="1" applyBorder="1" applyAlignment="1">
      <alignment horizontal="center" wrapText="1"/>
      <protection/>
    </xf>
    <xf numFmtId="2" fontId="51" fillId="0" borderId="16" xfId="57" applyNumberFormat="1" applyFont="1" applyFill="1" applyBorder="1" applyAlignment="1">
      <alignment horizontal="center" wrapText="1"/>
      <protection/>
    </xf>
    <xf numFmtId="0" fontId="51" fillId="0" borderId="20" xfId="0" applyNumberFormat="1" applyFont="1" applyFill="1" applyBorder="1" applyAlignment="1">
      <alignment horizontal="center" wrapText="1"/>
    </xf>
    <xf numFmtId="2" fontId="52" fillId="0" borderId="21" xfId="0" applyNumberFormat="1" applyFont="1" applyFill="1" applyBorder="1" applyAlignment="1">
      <alignment wrapText="1"/>
    </xf>
    <xf numFmtId="49" fontId="51" fillId="0" borderId="22" xfId="0" applyNumberFormat="1" applyFont="1" applyFill="1" applyBorder="1" applyAlignment="1">
      <alignment horizontal="center" wrapText="1"/>
    </xf>
    <xf numFmtId="2" fontId="51" fillId="0" borderId="0" xfId="0" applyNumberFormat="1" applyFont="1" applyFill="1" applyBorder="1" applyAlignment="1">
      <alignment/>
    </xf>
    <xf numFmtId="2" fontId="51" fillId="0" borderId="23" xfId="0" applyNumberFormat="1" applyFont="1" applyFill="1" applyBorder="1" applyAlignment="1">
      <alignment/>
    </xf>
    <xf numFmtId="49" fontId="51" fillId="0" borderId="10" xfId="57" applyNumberFormat="1" applyFont="1" applyFill="1" applyBorder="1" applyAlignment="1">
      <alignment horizontal="center" wrapText="1"/>
      <protection/>
    </xf>
    <xf numFmtId="0" fontId="51" fillId="0" borderId="0" xfId="0" applyNumberFormat="1" applyFont="1" applyFill="1" applyAlignment="1">
      <alignment/>
    </xf>
    <xf numFmtId="2" fontId="50" fillId="0" borderId="16" xfId="57" applyNumberFormat="1" applyFont="1" applyFill="1" applyBorder="1" applyAlignment="1">
      <alignment wrapText="1"/>
      <protection/>
    </xf>
    <xf numFmtId="2" fontId="51" fillId="0" borderId="0" xfId="0" applyNumberFormat="1" applyFont="1" applyFill="1" applyAlignment="1">
      <alignment textRotation="45"/>
    </xf>
    <xf numFmtId="49" fontId="51" fillId="0" borderId="12" xfId="57" applyNumberFormat="1" applyFont="1" applyFill="1" applyBorder="1" applyAlignment="1">
      <alignment horizontal="center" wrapText="1"/>
      <protection/>
    </xf>
    <xf numFmtId="49" fontId="51" fillId="0" borderId="0" xfId="0" applyNumberFormat="1" applyFont="1" applyFill="1" applyBorder="1" applyAlignment="1">
      <alignment/>
    </xf>
    <xf numFmtId="1" fontId="53" fillId="0" borderId="10" xfId="0" applyNumberFormat="1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53" fillId="0" borderId="19" xfId="0" applyNumberFormat="1" applyFont="1" applyFill="1" applyBorder="1" applyAlignment="1">
      <alignment horizontal="center" wrapText="1"/>
    </xf>
    <xf numFmtId="1" fontId="50" fillId="0" borderId="0" xfId="0" applyNumberFormat="1" applyFont="1" applyFill="1" applyAlignment="1">
      <alignment/>
    </xf>
    <xf numFmtId="0" fontId="50" fillId="0" borderId="12" xfId="0" applyNumberFormat="1" applyFont="1" applyFill="1" applyBorder="1" applyAlignment="1">
      <alignment horizontal="center" wrapText="1"/>
    </xf>
    <xf numFmtId="0" fontId="50" fillId="0" borderId="10" xfId="0" applyNumberFormat="1" applyFont="1" applyFill="1" applyBorder="1" applyAlignment="1">
      <alignment horizontal="center" wrapText="1"/>
    </xf>
    <xf numFmtId="0" fontId="50" fillId="0" borderId="11" xfId="0" applyNumberFormat="1" applyFont="1" applyFill="1" applyBorder="1" applyAlignment="1">
      <alignment horizontal="center" wrapText="1"/>
    </xf>
    <xf numFmtId="0" fontId="50" fillId="0" borderId="16" xfId="0" applyNumberFormat="1" applyFont="1" applyFill="1" applyBorder="1" applyAlignment="1">
      <alignment horizontal="center" wrapText="1"/>
    </xf>
    <xf numFmtId="0" fontId="50" fillId="0" borderId="24" xfId="0" applyNumberFormat="1" applyFont="1" applyFill="1" applyBorder="1" applyAlignment="1">
      <alignment horizontal="center" wrapText="1"/>
    </xf>
    <xf numFmtId="0" fontId="50" fillId="0" borderId="25" xfId="0" applyNumberFormat="1" applyFont="1" applyFill="1" applyBorder="1" applyAlignment="1">
      <alignment horizontal="center" wrapText="1"/>
    </xf>
    <xf numFmtId="0" fontId="50" fillId="0" borderId="10" xfId="0" applyNumberFormat="1" applyFont="1" applyFill="1" applyBorder="1" applyAlignment="1">
      <alignment horizontal="center"/>
    </xf>
    <xf numFmtId="0" fontId="50" fillId="0" borderId="26" xfId="0" applyNumberFormat="1" applyFont="1" applyFill="1" applyBorder="1" applyAlignment="1">
      <alignment horizontal="center" wrapText="1"/>
    </xf>
    <xf numFmtId="0" fontId="50" fillId="0" borderId="23" xfId="0" applyNumberFormat="1" applyFont="1" applyFill="1" applyBorder="1" applyAlignment="1">
      <alignment horizontal="center" wrapText="1"/>
    </xf>
    <xf numFmtId="2" fontId="50" fillId="0" borderId="12" xfId="0" applyNumberFormat="1" applyFont="1" applyFill="1" applyBorder="1" applyAlignment="1">
      <alignment horizontal="center" wrapText="1"/>
    </xf>
    <xf numFmtId="2" fontId="53" fillId="0" borderId="16" xfId="0" applyNumberFormat="1" applyFont="1" applyFill="1" applyBorder="1" applyAlignment="1">
      <alignment wrapText="1"/>
    </xf>
    <xf numFmtId="0" fontId="50" fillId="0" borderId="12" xfId="57" applyNumberFormat="1" applyFont="1" applyFill="1" applyBorder="1" applyAlignment="1">
      <alignment horizontal="center" wrapText="1"/>
      <protection/>
    </xf>
    <xf numFmtId="0" fontId="50" fillId="0" borderId="10" xfId="57" applyNumberFormat="1" applyFont="1" applyFill="1" applyBorder="1" applyAlignment="1">
      <alignment horizontal="center" wrapText="1"/>
      <protection/>
    </xf>
    <xf numFmtId="0" fontId="50" fillId="0" borderId="16" xfId="57" applyNumberFormat="1" applyFont="1" applyFill="1" applyBorder="1" applyAlignment="1">
      <alignment horizontal="center" wrapText="1"/>
      <protection/>
    </xf>
    <xf numFmtId="0" fontId="50" fillId="0" borderId="24" xfId="57" applyNumberFormat="1" applyFont="1" applyFill="1" applyBorder="1" applyAlignment="1">
      <alignment horizontal="center" wrapText="1"/>
      <protection/>
    </xf>
    <xf numFmtId="0" fontId="50" fillId="0" borderId="26" xfId="57" applyNumberFormat="1" applyFont="1" applyFill="1" applyBorder="1" applyAlignment="1">
      <alignment horizontal="center" wrapText="1"/>
      <protection/>
    </xf>
    <xf numFmtId="1" fontId="50" fillId="0" borderId="12" xfId="0" applyNumberFormat="1" applyFont="1" applyFill="1" applyBorder="1" applyAlignment="1">
      <alignment horizontal="center" wrapText="1"/>
    </xf>
    <xf numFmtId="2" fontId="50" fillId="0" borderId="24" xfId="0" applyNumberFormat="1" applyFont="1" applyFill="1" applyBorder="1" applyAlignment="1">
      <alignment horizontal="center" wrapText="1"/>
    </xf>
    <xf numFmtId="2" fontId="50" fillId="0" borderId="16" xfId="0" applyNumberFormat="1" applyFont="1" applyFill="1" applyBorder="1" applyAlignment="1">
      <alignment horizontal="center" wrapText="1"/>
    </xf>
    <xf numFmtId="2" fontId="50" fillId="0" borderId="0" xfId="0" applyNumberFormat="1" applyFont="1" applyFill="1" applyBorder="1" applyAlignment="1">
      <alignment horizontal="center" wrapText="1"/>
    </xf>
    <xf numFmtId="0" fontId="50" fillId="0" borderId="10" xfId="43" applyNumberFormat="1" applyFont="1" applyFill="1" applyBorder="1" applyAlignment="1">
      <alignment horizontal="center" wrapText="1"/>
    </xf>
    <xf numFmtId="0" fontId="50" fillId="0" borderId="25" xfId="43" applyNumberFormat="1" applyFont="1" applyFill="1" applyBorder="1" applyAlignment="1">
      <alignment horizontal="center" wrapText="1"/>
    </xf>
    <xf numFmtId="0" fontId="53" fillId="0" borderId="10" xfId="57" applyNumberFormat="1" applyFont="1" applyFill="1" applyBorder="1" applyAlignment="1">
      <alignment horizontal="center" wrapText="1"/>
      <protection/>
    </xf>
    <xf numFmtId="0" fontId="50" fillId="0" borderId="11" xfId="57" applyNumberFormat="1" applyFont="1" applyFill="1" applyBorder="1" applyAlignment="1">
      <alignment horizontal="center" wrapText="1"/>
      <protection/>
    </xf>
    <xf numFmtId="0" fontId="50" fillId="0" borderId="23" xfId="57" applyNumberFormat="1" applyFont="1" applyFill="1" applyBorder="1" applyAlignment="1">
      <alignment horizontal="center" wrapText="1"/>
      <protection/>
    </xf>
    <xf numFmtId="0" fontId="53" fillId="0" borderId="24" xfId="0" applyNumberFormat="1" applyFont="1" applyFill="1" applyBorder="1" applyAlignment="1">
      <alignment horizontal="center" wrapText="1"/>
    </xf>
    <xf numFmtId="192" fontId="50" fillId="0" borderId="10" xfId="0" applyNumberFormat="1" applyFont="1" applyFill="1" applyBorder="1" applyAlignment="1">
      <alignment horizontal="center" wrapText="1"/>
    </xf>
    <xf numFmtId="192" fontId="50" fillId="0" borderId="10" xfId="57" applyNumberFormat="1" applyFont="1" applyFill="1" applyBorder="1" applyAlignment="1">
      <alignment horizontal="center" wrapText="1"/>
      <protection/>
    </xf>
    <xf numFmtId="192" fontId="50" fillId="0" borderId="11" xfId="57" applyNumberFormat="1" applyFont="1" applyFill="1" applyBorder="1" applyAlignment="1">
      <alignment horizontal="center" wrapText="1"/>
      <protection/>
    </xf>
    <xf numFmtId="192" fontId="50" fillId="0" borderId="16" xfId="57" applyNumberFormat="1" applyFont="1" applyFill="1" applyBorder="1" applyAlignment="1">
      <alignment horizontal="center" wrapText="1"/>
      <protection/>
    </xf>
    <xf numFmtId="192" fontId="50" fillId="0" borderId="24" xfId="57" applyNumberFormat="1" applyFont="1" applyFill="1" applyBorder="1" applyAlignment="1">
      <alignment horizontal="center" wrapText="1"/>
      <protection/>
    </xf>
    <xf numFmtId="192" fontId="50" fillId="0" borderId="25" xfId="0" applyNumberFormat="1" applyFont="1" applyFill="1" applyBorder="1" applyAlignment="1">
      <alignment horizontal="center" wrapText="1"/>
    </xf>
    <xf numFmtId="192" fontId="53" fillId="0" borderId="10" xfId="0" applyNumberFormat="1" applyFont="1" applyFill="1" applyBorder="1" applyAlignment="1">
      <alignment horizontal="center" wrapText="1"/>
    </xf>
    <xf numFmtId="192" fontId="53" fillId="0" borderId="25" xfId="0" applyNumberFormat="1" applyFont="1" applyFill="1" applyBorder="1" applyAlignment="1">
      <alignment horizontal="center" wrapText="1"/>
    </xf>
    <xf numFmtId="2" fontId="50" fillId="0" borderId="20" xfId="0" applyNumberFormat="1" applyFont="1" applyFill="1" applyBorder="1" applyAlignment="1">
      <alignment/>
    </xf>
    <xf numFmtId="0" fontId="50" fillId="0" borderId="0" xfId="0" applyNumberFormat="1" applyFont="1" applyFill="1" applyAlignment="1">
      <alignment/>
    </xf>
    <xf numFmtId="0" fontId="50" fillId="0" borderId="20" xfId="0" applyNumberFormat="1" applyFont="1" applyFill="1" applyBorder="1" applyAlignment="1">
      <alignment/>
    </xf>
    <xf numFmtId="0" fontId="50" fillId="0" borderId="16" xfId="66" applyNumberFormat="1" applyFont="1" applyFill="1" applyBorder="1" applyAlignment="1">
      <alignment horizontal="center" wrapText="1"/>
    </xf>
    <xf numFmtId="0" fontId="50" fillId="0" borderId="25" xfId="57" applyNumberFormat="1" applyFont="1" applyFill="1" applyBorder="1" applyAlignment="1">
      <alignment horizontal="center" wrapText="1"/>
      <protection/>
    </xf>
    <xf numFmtId="192" fontId="50" fillId="0" borderId="26" xfId="57" applyNumberFormat="1" applyFont="1" applyFill="1" applyBorder="1" applyAlignment="1">
      <alignment horizontal="center" wrapText="1"/>
      <protection/>
    </xf>
    <xf numFmtId="192" fontId="50" fillId="0" borderId="12" xfId="57" applyNumberFormat="1" applyFont="1" applyFill="1" applyBorder="1" applyAlignment="1">
      <alignment horizontal="center" wrapText="1"/>
      <protection/>
    </xf>
    <xf numFmtId="0" fontId="50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192" fontId="2" fillId="0" borderId="0" xfId="0" applyNumberFormat="1" applyFont="1" applyAlignment="1">
      <alignment horizontal="center"/>
    </xf>
    <xf numFmtId="2" fontId="51" fillId="0" borderId="16" xfId="0" applyNumberFormat="1" applyFont="1" applyFill="1" applyBorder="1" applyAlignment="1">
      <alignment horizontal="left" wrapText="1"/>
    </xf>
    <xf numFmtId="0" fontId="51" fillId="0" borderId="12" xfId="0" applyNumberFormat="1" applyFont="1" applyFill="1" applyBorder="1" applyAlignment="1">
      <alignment horizontal="left" wrapText="1"/>
    </xf>
    <xf numFmtId="2" fontId="50" fillId="0" borderId="16" xfId="0" applyNumberFormat="1" applyFont="1" applyFill="1" applyBorder="1" applyAlignment="1">
      <alignment horizontal="left" wrapText="1"/>
    </xf>
    <xf numFmtId="0" fontId="50" fillId="0" borderId="12" xfId="0" applyNumberFormat="1" applyFont="1" applyFill="1" applyBorder="1" applyAlignment="1">
      <alignment horizontal="left" wrapText="1"/>
    </xf>
    <xf numFmtId="2" fontId="3" fillId="0" borderId="16" xfId="0" applyNumberFormat="1" applyFont="1" applyBorder="1" applyAlignment="1">
      <alignment horizontal="center" wrapText="1"/>
    </xf>
    <xf numFmtId="0" fontId="54" fillId="0" borderId="10" xfId="0" applyFont="1" applyBorder="1" applyAlignment="1">
      <alignment horizontal="center" wrapText="1"/>
    </xf>
    <xf numFmtId="0" fontId="54" fillId="0" borderId="12" xfId="0" applyFont="1" applyBorder="1" applyAlignment="1">
      <alignment horizontal="center" wrapText="1"/>
    </xf>
    <xf numFmtId="2" fontId="55" fillId="0" borderId="16" xfId="0" applyNumberFormat="1" applyFont="1" applyFill="1" applyBorder="1" applyAlignment="1">
      <alignment horizontal="center" wrapText="1"/>
    </xf>
    <xf numFmtId="49" fontId="51" fillId="0" borderId="16" xfId="0" applyNumberFormat="1" applyFont="1" applyFill="1" applyBorder="1" applyAlignment="1">
      <alignment horizontal="center" wrapText="1"/>
    </xf>
    <xf numFmtId="1" fontId="49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4" fillId="0" borderId="12" xfId="0" applyFont="1" applyBorder="1" applyAlignment="1">
      <alignment horizontal="center" vertical="top" wrapText="1"/>
    </xf>
    <xf numFmtId="2" fontId="2" fillId="0" borderId="0" xfId="0" applyNumberFormat="1" applyFont="1" applyAlignment="1">
      <alignment horizontal="center"/>
    </xf>
    <xf numFmtId="0" fontId="53" fillId="0" borderId="22" xfId="0" applyNumberFormat="1" applyFont="1" applyFill="1" applyBorder="1" applyAlignment="1">
      <alignment horizontal="center" textRotation="90" wrapText="1"/>
    </xf>
    <xf numFmtId="0" fontId="53" fillId="0" borderId="12" xfId="0" applyNumberFormat="1" applyFont="1" applyFill="1" applyBorder="1" applyAlignment="1">
      <alignment horizontal="center" textRotation="90" wrapText="1"/>
    </xf>
    <xf numFmtId="0" fontId="53" fillId="0" borderId="25" xfId="0" applyNumberFormat="1" applyFont="1" applyFill="1" applyBorder="1" applyAlignment="1">
      <alignment horizontal="center" wrapText="1"/>
    </xf>
    <xf numFmtId="0" fontId="53" fillId="0" borderId="23" xfId="0" applyNumberFormat="1" applyFont="1" applyFill="1" applyBorder="1" applyAlignment="1">
      <alignment horizontal="center" wrapText="1"/>
    </xf>
    <xf numFmtId="0" fontId="53" fillId="0" borderId="11" xfId="0" applyNumberFormat="1" applyFont="1" applyFill="1" applyBorder="1" applyAlignment="1">
      <alignment horizontal="center" wrapText="1"/>
    </xf>
    <xf numFmtId="0" fontId="53" fillId="0" borderId="12" xfId="0" applyNumberFormat="1" applyFont="1" applyFill="1" applyBorder="1" applyAlignment="1">
      <alignment horizontal="center" wrapText="1"/>
    </xf>
    <xf numFmtId="2" fontId="52" fillId="0" borderId="0" xfId="0" applyNumberFormat="1" applyFont="1" applyFill="1" applyBorder="1" applyAlignment="1">
      <alignment horizontal="center" wrapText="1"/>
    </xf>
    <xf numFmtId="2" fontId="52" fillId="0" borderId="0" xfId="0" applyNumberFormat="1" applyFont="1" applyFill="1" applyBorder="1" applyAlignment="1">
      <alignment horizontal="left" wrapText="1"/>
    </xf>
    <xf numFmtId="0" fontId="52" fillId="0" borderId="12" xfId="0" applyNumberFormat="1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horizontal="center" wrapText="1"/>
    </xf>
    <xf numFmtId="2" fontId="53" fillId="0" borderId="25" xfId="0" applyNumberFormat="1" applyFont="1" applyFill="1" applyBorder="1" applyAlignment="1">
      <alignment horizontal="center" wrapText="1"/>
    </xf>
    <xf numFmtId="2" fontId="53" fillId="0" borderId="23" xfId="0" applyNumberFormat="1" applyFont="1" applyFill="1" applyBorder="1" applyAlignment="1">
      <alignment horizontal="center" wrapText="1"/>
    </xf>
    <xf numFmtId="2" fontId="53" fillId="0" borderId="11" xfId="0" applyNumberFormat="1" applyFont="1" applyFill="1" applyBorder="1" applyAlignment="1">
      <alignment horizontal="center" wrapText="1"/>
    </xf>
    <xf numFmtId="0" fontId="53" fillId="0" borderId="22" xfId="0" applyNumberFormat="1" applyFont="1" applyFill="1" applyBorder="1" applyAlignment="1">
      <alignment horizontal="center" textRotation="90" wrapText="1"/>
    </xf>
    <xf numFmtId="0" fontId="53" fillId="0" borderId="12" xfId="0" applyNumberFormat="1" applyFont="1" applyFill="1" applyBorder="1" applyAlignment="1">
      <alignment horizontal="center" textRotation="90" wrapText="1"/>
    </xf>
    <xf numFmtId="0" fontId="53" fillId="0" borderId="25" xfId="0" applyNumberFormat="1" applyFont="1" applyFill="1" applyBorder="1" applyAlignment="1">
      <alignment horizontal="center" wrapText="1"/>
    </xf>
    <xf numFmtId="0" fontId="53" fillId="0" borderId="23" xfId="0" applyNumberFormat="1" applyFont="1" applyFill="1" applyBorder="1" applyAlignment="1">
      <alignment horizontal="center" wrapText="1"/>
    </xf>
    <xf numFmtId="0" fontId="53" fillId="0" borderId="11" xfId="0" applyNumberFormat="1" applyFont="1" applyFill="1" applyBorder="1" applyAlignment="1">
      <alignment horizontal="center" wrapText="1"/>
    </xf>
    <xf numFmtId="0" fontId="53" fillId="0" borderId="27" xfId="0" applyNumberFormat="1" applyFont="1" applyFill="1" applyBorder="1" applyAlignment="1">
      <alignment horizontal="center" textRotation="90" wrapText="1"/>
    </xf>
    <xf numFmtId="0" fontId="53" fillId="0" borderId="26" xfId="0" applyNumberFormat="1" applyFont="1" applyFill="1" applyBorder="1" applyAlignment="1">
      <alignment horizontal="center" textRotation="90" wrapText="1"/>
    </xf>
    <xf numFmtId="0" fontId="53" fillId="0" borderId="27" xfId="0" applyNumberFormat="1" applyFont="1" applyFill="1" applyBorder="1" applyAlignment="1">
      <alignment horizontal="center" wrapText="1"/>
    </xf>
    <xf numFmtId="0" fontId="53" fillId="0" borderId="28" xfId="0" applyNumberFormat="1" applyFont="1" applyFill="1" applyBorder="1" applyAlignment="1">
      <alignment horizontal="center" wrapText="1"/>
    </xf>
    <xf numFmtId="0" fontId="53" fillId="0" borderId="26" xfId="0" applyNumberFormat="1" applyFont="1" applyFill="1" applyBorder="1" applyAlignment="1">
      <alignment horizontal="center" wrapText="1"/>
    </xf>
    <xf numFmtId="0" fontId="53" fillId="0" borderId="16" xfId="0" applyNumberFormat="1" applyFont="1" applyFill="1" applyBorder="1" applyAlignment="1">
      <alignment horizontal="center" wrapText="1"/>
    </xf>
    <xf numFmtId="2" fontId="53" fillId="0" borderId="25" xfId="0" applyNumberFormat="1" applyFont="1" applyFill="1" applyBorder="1" applyAlignment="1">
      <alignment horizontal="left" wrapText="1"/>
    </xf>
    <xf numFmtId="2" fontId="53" fillId="0" borderId="11" xfId="0" applyNumberFormat="1" applyFont="1" applyFill="1" applyBorder="1" applyAlignment="1">
      <alignment horizontal="left" wrapText="1"/>
    </xf>
    <xf numFmtId="0" fontId="53" fillId="0" borderId="22" xfId="0" applyNumberFormat="1" applyFont="1" applyFill="1" applyBorder="1" applyAlignment="1">
      <alignment horizontal="center" wrapText="1"/>
    </xf>
    <xf numFmtId="0" fontId="53" fillId="0" borderId="12" xfId="0" applyNumberFormat="1" applyFont="1" applyFill="1" applyBorder="1" applyAlignment="1">
      <alignment horizontal="center" wrapText="1"/>
    </xf>
    <xf numFmtId="2" fontId="53" fillId="0" borderId="22" xfId="0" applyNumberFormat="1" applyFont="1" applyFill="1" applyBorder="1" applyAlignment="1">
      <alignment horizontal="center" wrapText="1"/>
    </xf>
    <xf numFmtId="2" fontId="53" fillId="0" borderId="12" xfId="0" applyNumberFormat="1" applyFont="1" applyFill="1" applyBorder="1" applyAlignment="1">
      <alignment horizontal="center" wrapText="1"/>
    </xf>
    <xf numFmtId="0" fontId="53" fillId="0" borderId="0" xfId="0" applyNumberFormat="1" applyFont="1" applyFill="1" applyBorder="1" applyAlignment="1">
      <alignment horizontal="center"/>
    </xf>
    <xf numFmtId="0" fontId="53" fillId="0" borderId="24" xfId="0" applyNumberFormat="1" applyFont="1" applyFill="1" applyBorder="1" applyAlignment="1">
      <alignment horizontal="center"/>
    </xf>
    <xf numFmtId="2" fontId="52" fillId="0" borderId="25" xfId="0" applyNumberFormat="1" applyFont="1" applyFill="1" applyBorder="1" applyAlignment="1">
      <alignment horizontal="center" wrapText="1"/>
    </xf>
    <xf numFmtId="2" fontId="52" fillId="0" borderId="23" xfId="0" applyNumberFormat="1" applyFont="1" applyFill="1" applyBorder="1" applyAlignment="1">
      <alignment horizontal="center" wrapText="1"/>
    </xf>
    <xf numFmtId="2" fontId="52" fillId="0" borderId="11" xfId="0" applyNumberFormat="1" applyFont="1" applyFill="1" applyBorder="1" applyAlignment="1">
      <alignment horizontal="center" wrapText="1"/>
    </xf>
    <xf numFmtId="0" fontId="52" fillId="0" borderId="0" xfId="0" applyNumberFormat="1" applyFont="1" applyFill="1" applyBorder="1" applyAlignment="1">
      <alignment horizontal="left"/>
    </xf>
    <xf numFmtId="2" fontId="52" fillId="0" borderId="0" xfId="0" applyNumberFormat="1" applyFont="1" applyFill="1" applyBorder="1" applyAlignment="1">
      <alignment horizontal="left" wrapText="1"/>
    </xf>
    <xf numFmtId="2" fontId="52" fillId="0" borderId="0" xfId="0" applyNumberFormat="1" applyFont="1" applyFill="1" applyBorder="1" applyAlignment="1">
      <alignment horizontal="center" wrapText="1"/>
    </xf>
    <xf numFmtId="0" fontId="52" fillId="0" borderId="22" xfId="0" applyNumberFormat="1" applyFont="1" applyFill="1" applyBorder="1" applyAlignment="1">
      <alignment horizontal="center" wrapText="1"/>
    </xf>
    <xf numFmtId="0" fontId="52" fillId="0" borderId="12" xfId="0" applyNumberFormat="1" applyFont="1" applyFill="1" applyBorder="1" applyAlignment="1">
      <alignment horizontal="center" wrapText="1"/>
    </xf>
    <xf numFmtId="2" fontId="52" fillId="0" borderId="22" xfId="0" applyNumberFormat="1" applyFont="1" applyFill="1" applyBorder="1" applyAlignment="1">
      <alignment horizontal="center" wrapText="1"/>
    </xf>
    <xf numFmtId="2" fontId="52" fillId="0" borderId="12" xfId="0" applyNumberFormat="1" applyFont="1" applyFill="1" applyBorder="1" applyAlignment="1">
      <alignment horizontal="center" wrapText="1"/>
    </xf>
    <xf numFmtId="2" fontId="52" fillId="0" borderId="0" xfId="0" applyNumberFormat="1" applyFont="1" applyFill="1" applyBorder="1" applyAlignment="1">
      <alignment horizontal="left"/>
    </xf>
    <xf numFmtId="49" fontId="52" fillId="0" borderId="22" xfId="0" applyNumberFormat="1" applyFont="1" applyFill="1" applyBorder="1" applyAlignment="1">
      <alignment horizontal="center" wrapText="1"/>
    </xf>
    <xf numFmtId="49" fontId="52" fillId="0" borderId="12" xfId="0" applyNumberFormat="1" applyFont="1" applyFill="1" applyBorder="1" applyAlignment="1">
      <alignment horizontal="center" wrapText="1"/>
    </xf>
    <xf numFmtId="0" fontId="52" fillId="0" borderId="25" xfId="0" applyNumberFormat="1" applyFont="1" applyFill="1" applyBorder="1" applyAlignment="1">
      <alignment horizontal="center" wrapText="1"/>
    </xf>
    <xf numFmtId="0" fontId="52" fillId="0" borderId="23" xfId="0" applyNumberFormat="1" applyFont="1" applyFill="1" applyBorder="1" applyAlignment="1">
      <alignment horizontal="center" wrapText="1"/>
    </xf>
    <xf numFmtId="0" fontId="52" fillId="0" borderId="11" xfId="0" applyNumberFormat="1" applyFont="1" applyFill="1" applyBorder="1" applyAlignment="1">
      <alignment horizontal="center" wrapText="1"/>
    </xf>
    <xf numFmtId="2" fontId="52" fillId="0" borderId="25" xfId="0" applyNumberFormat="1" applyFont="1" applyFill="1" applyBorder="1" applyAlignment="1">
      <alignment horizontal="left" wrapText="1"/>
    </xf>
    <xf numFmtId="2" fontId="52" fillId="0" borderId="23" xfId="0" applyNumberFormat="1" applyFont="1" applyFill="1" applyBorder="1" applyAlignment="1">
      <alignment horizontal="left" wrapText="1"/>
    </xf>
    <xf numFmtId="2" fontId="52" fillId="0" borderId="11" xfId="0" applyNumberFormat="1" applyFont="1" applyFill="1" applyBorder="1" applyAlignment="1">
      <alignment horizontal="left" wrapText="1"/>
    </xf>
    <xf numFmtId="49" fontId="52" fillId="0" borderId="21" xfId="0" applyNumberFormat="1" applyFont="1" applyFill="1" applyBorder="1" applyAlignment="1">
      <alignment horizontal="center" wrapText="1"/>
    </xf>
    <xf numFmtId="49" fontId="52" fillId="0" borderId="16" xfId="0" applyNumberFormat="1" applyFont="1" applyFill="1" applyBorder="1" applyAlignment="1">
      <alignment horizontal="center" wrapText="1"/>
    </xf>
    <xf numFmtId="2" fontId="52" fillId="0" borderId="26" xfId="0" applyNumberFormat="1" applyFont="1" applyFill="1" applyBorder="1" applyAlignment="1">
      <alignment horizontal="center" wrapText="1"/>
    </xf>
    <xf numFmtId="2" fontId="52" fillId="0" borderId="24" xfId="0" applyNumberFormat="1" applyFont="1" applyFill="1" applyBorder="1" applyAlignment="1">
      <alignment horizontal="center" wrapText="1"/>
    </xf>
    <xf numFmtId="2" fontId="52" fillId="0" borderId="16" xfId="0" applyNumberFormat="1" applyFont="1" applyFill="1" applyBorder="1" applyAlignment="1">
      <alignment horizontal="center" wrapText="1"/>
    </xf>
    <xf numFmtId="2" fontId="52" fillId="0" borderId="20" xfId="0" applyNumberFormat="1" applyFont="1" applyFill="1" applyBorder="1" applyAlignment="1">
      <alignment horizontal="center" wrapText="1"/>
    </xf>
    <xf numFmtId="0" fontId="52" fillId="0" borderId="29" xfId="0" applyNumberFormat="1" applyFont="1" applyFill="1" applyBorder="1" applyAlignment="1">
      <alignment horizontal="center" wrapText="1"/>
    </xf>
    <xf numFmtId="0" fontId="52" fillId="0" borderId="26" xfId="0" applyNumberFormat="1" applyFont="1" applyFill="1" applyBorder="1" applyAlignment="1">
      <alignment horizontal="center" wrapText="1"/>
    </xf>
    <xf numFmtId="0" fontId="52" fillId="0" borderId="27" xfId="0" applyNumberFormat="1" applyFont="1" applyFill="1" applyBorder="1" applyAlignment="1">
      <alignment horizontal="center" wrapText="1"/>
    </xf>
    <xf numFmtId="2" fontId="52" fillId="0" borderId="30" xfId="0" applyNumberFormat="1" applyFont="1" applyFill="1" applyBorder="1" applyAlignment="1">
      <alignment horizontal="center" wrapText="1"/>
    </xf>
    <xf numFmtId="49" fontId="52" fillId="0" borderId="28" xfId="0" applyNumberFormat="1" applyFont="1" applyFill="1" applyBorder="1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Денежный 4" xfId="47"/>
    <cellStyle name="Денежный 5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Финансовый 5" xfId="71"/>
    <cellStyle name="Финансовый 5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01"/>
  <sheetViews>
    <sheetView view="pageBreakPreview" zoomScale="25" zoomScaleSheetLayoutView="25" zoomScalePageLayoutView="0" workbookViewId="0" topLeftCell="A58">
      <selection activeCell="B66" sqref="B66"/>
    </sheetView>
  </sheetViews>
  <sheetFormatPr defaultColWidth="9.140625" defaultRowHeight="12.75"/>
  <cols>
    <col min="1" max="1" width="34.7109375" style="118" customWidth="1"/>
    <col min="2" max="2" width="124.28125" style="13" customWidth="1"/>
    <col min="3" max="3" width="37.00390625" style="118" customWidth="1"/>
    <col min="4" max="4" width="28.7109375" style="118" customWidth="1"/>
    <col min="5" max="5" width="28.421875" style="118" customWidth="1"/>
    <col min="6" max="6" width="37.140625" style="118" customWidth="1"/>
    <col min="7" max="7" width="28.00390625" style="118" customWidth="1"/>
    <col min="8" max="8" width="33.7109375" style="118" customWidth="1"/>
    <col min="9" max="9" width="27.28125" style="118" customWidth="1"/>
    <col min="10" max="10" width="31.421875" style="118" customWidth="1"/>
    <col min="11" max="11" width="28.57421875" style="118" customWidth="1"/>
    <col min="12" max="12" width="34.00390625" style="118" customWidth="1"/>
    <col min="13" max="13" width="28.28125" style="118" customWidth="1"/>
    <col min="14" max="14" width="28.7109375" style="118" customWidth="1"/>
    <col min="15" max="15" width="31.140625" style="118" customWidth="1"/>
    <col min="16" max="16" width="32.57421875" style="118" customWidth="1"/>
    <col min="17" max="17" width="36.421875" style="118" customWidth="1"/>
    <col min="18" max="18" width="27.00390625" style="118" customWidth="1"/>
    <col min="19" max="19" width="30.28125" style="118" customWidth="1"/>
    <col min="20" max="20" width="28.7109375" style="118" customWidth="1"/>
    <col min="21" max="21" width="32.7109375" style="118" customWidth="1"/>
    <col min="22" max="22" width="31.140625" style="118" customWidth="1"/>
    <col min="23" max="23" width="29.421875" style="118" customWidth="1"/>
    <col min="24" max="24" width="30.7109375" style="118" customWidth="1"/>
    <col min="25" max="25" width="30.00390625" style="118" customWidth="1"/>
    <col min="26" max="26" width="27.8515625" style="118" customWidth="1"/>
    <col min="27" max="27" width="29.00390625" style="118" customWidth="1"/>
    <col min="28" max="29" width="27.8515625" style="118" customWidth="1"/>
    <col min="30" max="30" width="28.7109375" style="119" customWidth="1"/>
    <col min="31" max="31" width="9.140625" style="13" customWidth="1"/>
    <col min="32" max="32" width="10.8515625" style="13" bestFit="1" customWidth="1"/>
    <col min="33" max="16384" width="9.140625" style="13" customWidth="1"/>
  </cols>
  <sheetData>
    <row r="1" spans="1:30" ht="64.5">
      <c r="A1" s="170" t="s">
        <v>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</row>
    <row r="2" spans="1:30" ht="65.25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</row>
    <row r="3" spans="1:30" ht="65.25" thickBot="1">
      <c r="A3" s="150" t="s">
        <v>62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2"/>
    </row>
    <row r="4" spans="1:30" ht="65.25" thickBot="1">
      <c r="A4" s="150" t="s">
        <v>76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2"/>
    </row>
    <row r="5" spans="1:30" ht="46.5" customHeight="1">
      <c r="A5" s="166" t="s">
        <v>30</v>
      </c>
      <c r="B5" s="168" t="s">
        <v>23</v>
      </c>
      <c r="C5" s="153" t="s">
        <v>116</v>
      </c>
      <c r="D5" s="153" t="s">
        <v>117</v>
      </c>
      <c r="E5" s="153" t="s">
        <v>118</v>
      </c>
      <c r="F5" s="153" t="s">
        <v>119</v>
      </c>
      <c r="G5" s="153" t="s">
        <v>120</v>
      </c>
      <c r="H5" s="153" t="s">
        <v>121</v>
      </c>
      <c r="I5" s="153" t="s">
        <v>110</v>
      </c>
      <c r="J5" s="153" t="s">
        <v>257</v>
      </c>
      <c r="K5" s="140"/>
      <c r="L5" s="153" t="s">
        <v>142</v>
      </c>
      <c r="M5" s="153" t="s">
        <v>79</v>
      </c>
      <c r="N5" s="153" t="s">
        <v>123</v>
      </c>
      <c r="O5" s="153" t="s">
        <v>80</v>
      </c>
      <c r="P5" s="153" t="s">
        <v>124</v>
      </c>
      <c r="Q5" s="153" t="s">
        <v>81</v>
      </c>
      <c r="R5" s="153" t="s">
        <v>125</v>
      </c>
      <c r="S5" s="153" t="s">
        <v>126</v>
      </c>
      <c r="T5" s="153" t="s">
        <v>127</v>
      </c>
      <c r="U5" s="140"/>
      <c r="V5" s="153" t="s">
        <v>113</v>
      </c>
      <c r="W5" s="153" t="s">
        <v>129</v>
      </c>
      <c r="X5" s="153" t="s">
        <v>84</v>
      </c>
      <c r="Y5" s="153" t="s">
        <v>82</v>
      </c>
      <c r="Z5" s="153" t="s">
        <v>83</v>
      </c>
      <c r="AA5" s="153" t="s">
        <v>85</v>
      </c>
      <c r="AB5" s="140"/>
      <c r="AC5" s="158" t="s">
        <v>78</v>
      </c>
      <c r="AD5" s="153" t="s">
        <v>138</v>
      </c>
    </row>
    <row r="6" spans="1:30" ht="406.5" customHeight="1" thickBot="1">
      <c r="A6" s="167"/>
      <c r="B6" s="169"/>
      <c r="C6" s="154"/>
      <c r="D6" s="154"/>
      <c r="E6" s="154"/>
      <c r="F6" s="154"/>
      <c r="G6" s="154"/>
      <c r="H6" s="154"/>
      <c r="I6" s="154"/>
      <c r="J6" s="154"/>
      <c r="K6" s="141" t="s">
        <v>122</v>
      </c>
      <c r="L6" s="154"/>
      <c r="M6" s="154"/>
      <c r="N6" s="154"/>
      <c r="O6" s="154"/>
      <c r="P6" s="154"/>
      <c r="Q6" s="154"/>
      <c r="R6" s="154"/>
      <c r="S6" s="154"/>
      <c r="T6" s="154"/>
      <c r="U6" s="141" t="s">
        <v>128</v>
      </c>
      <c r="V6" s="154"/>
      <c r="W6" s="154"/>
      <c r="X6" s="154"/>
      <c r="Y6" s="154"/>
      <c r="Z6" s="154"/>
      <c r="AA6" s="154"/>
      <c r="AB6" s="141" t="s">
        <v>77</v>
      </c>
      <c r="AC6" s="159"/>
      <c r="AD6" s="154"/>
    </row>
    <row r="7" spans="1:30" s="82" customFormat="1" ht="65.25" thickBot="1">
      <c r="A7" s="145">
        <v>1</v>
      </c>
      <c r="B7" s="79">
        <v>2</v>
      </c>
      <c r="C7" s="80" t="s">
        <v>54</v>
      </c>
      <c r="D7" s="81">
        <v>4</v>
      </c>
      <c r="E7" s="80">
        <v>5</v>
      </c>
      <c r="F7" s="80">
        <v>6</v>
      </c>
      <c r="G7" s="80">
        <v>7</v>
      </c>
      <c r="H7" s="80">
        <v>8</v>
      </c>
      <c r="I7" s="80" t="s">
        <v>55</v>
      </c>
      <c r="J7" s="81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143">
        <v>16</v>
      </c>
      <c r="Q7" s="80">
        <v>17</v>
      </c>
      <c r="R7" s="143">
        <v>18</v>
      </c>
      <c r="S7" s="80">
        <v>19</v>
      </c>
      <c r="T7" s="143">
        <v>20</v>
      </c>
      <c r="U7" s="143">
        <v>21</v>
      </c>
      <c r="V7" s="80">
        <v>22</v>
      </c>
      <c r="W7" s="80">
        <v>23</v>
      </c>
      <c r="X7" s="143">
        <v>24</v>
      </c>
      <c r="Y7" s="80">
        <v>25</v>
      </c>
      <c r="Z7" s="80">
        <v>26</v>
      </c>
      <c r="AA7" s="80">
        <v>27</v>
      </c>
      <c r="AB7" s="143">
        <v>28</v>
      </c>
      <c r="AC7" s="142">
        <v>29</v>
      </c>
      <c r="AD7" s="80">
        <v>31</v>
      </c>
    </row>
    <row r="8" spans="1:30" ht="65.25" thickBot="1">
      <c r="A8" s="150" t="s">
        <v>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2"/>
    </row>
    <row r="9" spans="1:30" ht="129.75" thickBot="1">
      <c r="A9" s="84">
        <v>85</v>
      </c>
      <c r="B9" s="25" t="s">
        <v>103</v>
      </c>
      <c r="C9" s="84"/>
      <c r="D9" s="85"/>
      <c r="E9" s="85"/>
      <c r="F9" s="85"/>
      <c r="G9" s="85"/>
      <c r="H9" s="86">
        <v>42</v>
      </c>
      <c r="I9" s="86"/>
      <c r="J9" s="86"/>
      <c r="K9" s="86"/>
      <c r="L9" s="86"/>
      <c r="M9" s="86"/>
      <c r="N9" s="87"/>
      <c r="O9" s="84"/>
      <c r="P9" s="87">
        <v>5</v>
      </c>
      <c r="Q9" s="84"/>
      <c r="R9" s="87"/>
      <c r="S9" s="84"/>
      <c r="T9" s="87"/>
      <c r="U9" s="84"/>
      <c r="V9" s="84"/>
      <c r="W9" s="84"/>
      <c r="X9" s="87"/>
      <c r="Y9" s="84"/>
      <c r="Z9" s="84">
        <v>10</v>
      </c>
      <c r="AA9" s="84"/>
      <c r="AB9" s="87"/>
      <c r="AC9" s="88"/>
      <c r="AD9" s="84"/>
    </row>
    <row r="10" spans="1:30" ht="65.25" thickBot="1">
      <c r="A10" s="84">
        <v>41</v>
      </c>
      <c r="B10" s="22" t="s">
        <v>101</v>
      </c>
      <c r="C10" s="84"/>
      <c r="D10" s="86"/>
      <c r="E10" s="86"/>
      <c r="F10" s="86"/>
      <c r="G10" s="86"/>
      <c r="H10" s="86"/>
      <c r="I10" s="86"/>
      <c r="J10" s="86">
        <v>42</v>
      </c>
      <c r="K10" s="86"/>
      <c r="L10" s="86"/>
      <c r="M10" s="86"/>
      <c r="N10" s="87"/>
      <c r="O10" s="83"/>
      <c r="P10" s="87"/>
      <c r="Q10" s="83"/>
      <c r="R10" s="87"/>
      <c r="S10" s="83"/>
      <c r="T10" s="87"/>
      <c r="U10" s="84"/>
      <c r="V10" s="83"/>
      <c r="W10" s="87"/>
      <c r="X10" s="84"/>
      <c r="Y10" s="83"/>
      <c r="Z10" s="87"/>
      <c r="AA10" s="83"/>
      <c r="AB10" s="84"/>
      <c r="AC10" s="88"/>
      <c r="AD10" s="83"/>
    </row>
    <row r="11" spans="1:30" ht="65.25" thickBot="1">
      <c r="A11" s="89">
        <v>31</v>
      </c>
      <c r="B11" s="23" t="s">
        <v>9</v>
      </c>
      <c r="C11" s="84"/>
      <c r="D11" s="86"/>
      <c r="E11" s="86"/>
      <c r="F11" s="86"/>
      <c r="G11" s="86"/>
      <c r="H11" s="86"/>
      <c r="I11" s="86"/>
      <c r="J11" s="86"/>
      <c r="K11" s="86"/>
      <c r="L11" s="86">
        <v>4</v>
      </c>
      <c r="M11" s="86"/>
      <c r="N11" s="86"/>
      <c r="O11" s="84">
        <v>10</v>
      </c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4">
        <v>0.48</v>
      </c>
      <c r="AB11" s="86"/>
      <c r="AC11" s="87"/>
      <c r="AD11" s="83"/>
    </row>
    <row r="12" spans="1:30" ht="65.25" thickBot="1">
      <c r="A12" s="83">
        <v>16</v>
      </c>
      <c r="B12" s="22" t="s">
        <v>36</v>
      </c>
      <c r="C12" s="86">
        <v>20</v>
      </c>
      <c r="D12" s="85"/>
      <c r="E12" s="85"/>
      <c r="F12" s="85"/>
      <c r="G12" s="85"/>
      <c r="H12" s="86"/>
      <c r="I12" s="86"/>
      <c r="J12" s="86"/>
      <c r="K12" s="86"/>
      <c r="L12" s="86"/>
      <c r="M12" s="86"/>
      <c r="N12" s="87"/>
      <c r="O12" s="84"/>
      <c r="P12" s="84">
        <v>5</v>
      </c>
      <c r="Q12" s="84"/>
      <c r="R12" s="87"/>
      <c r="S12" s="84"/>
      <c r="T12" s="87"/>
      <c r="U12" s="83"/>
      <c r="V12" s="84"/>
      <c r="W12" s="83"/>
      <c r="X12" s="87"/>
      <c r="Y12" s="84"/>
      <c r="Z12" s="84"/>
      <c r="AA12" s="87"/>
      <c r="AB12" s="83"/>
      <c r="AC12" s="88"/>
      <c r="AD12" s="84"/>
    </row>
    <row r="13" spans="1:30" ht="65.25" thickBot="1">
      <c r="A13" s="83"/>
      <c r="B13" s="22" t="s">
        <v>6</v>
      </c>
      <c r="C13" s="84">
        <f>SUM(C9:C12)</f>
        <v>20</v>
      </c>
      <c r="D13" s="84">
        <f aca="true" t="shared" si="0" ref="D13:AD13">SUM(D9:D12)</f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42</v>
      </c>
      <c r="I13" s="84">
        <f t="shared" si="0"/>
        <v>0</v>
      </c>
      <c r="J13" s="84">
        <f t="shared" si="0"/>
        <v>42</v>
      </c>
      <c r="K13" s="84">
        <f t="shared" si="0"/>
        <v>0</v>
      </c>
      <c r="L13" s="84">
        <f t="shared" si="0"/>
        <v>4</v>
      </c>
      <c r="M13" s="84">
        <f t="shared" si="0"/>
        <v>0</v>
      </c>
      <c r="N13" s="84">
        <f t="shared" si="0"/>
        <v>0</v>
      </c>
      <c r="O13" s="84">
        <f t="shared" si="0"/>
        <v>10</v>
      </c>
      <c r="P13" s="84">
        <f t="shared" si="0"/>
        <v>10</v>
      </c>
      <c r="Q13" s="84">
        <f t="shared" si="0"/>
        <v>0</v>
      </c>
      <c r="R13" s="84">
        <f t="shared" si="0"/>
        <v>0</v>
      </c>
      <c r="S13" s="84">
        <f t="shared" si="0"/>
        <v>0</v>
      </c>
      <c r="T13" s="84">
        <f t="shared" si="0"/>
        <v>0</v>
      </c>
      <c r="U13" s="84">
        <f t="shared" si="0"/>
        <v>0</v>
      </c>
      <c r="V13" s="84">
        <f t="shared" si="0"/>
        <v>0</v>
      </c>
      <c r="W13" s="84">
        <f t="shared" si="0"/>
        <v>0</v>
      </c>
      <c r="X13" s="84">
        <f t="shared" si="0"/>
        <v>0</v>
      </c>
      <c r="Y13" s="84">
        <f t="shared" si="0"/>
        <v>0</v>
      </c>
      <c r="Z13" s="84">
        <f t="shared" si="0"/>
        <v>10</v>
      </c>
      <c r="AA13" s="84">
        <f t="shared" si="0"/>
        <v>0.48</v>
      </c>
      <c r="AB13" s="84">
        <f t="shared" si="0"/>
        <v>0</v>
      </c>
      <c r="AC13" s="88">
        <f t="shared" si="0"/>
        <v>0</v>
      </c>
      <c r="AD13" s="84">
        <f t="shared" si="0"/>
        <v>0</v>
      </c>
    </row>
    <row r="14" spans="1:30" ht="65.25" thickBot="1">
      <c r="A14" s="155" t="s">
        <v>53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7"/>
    </row>
    <row r="15" spans="1:30" ht="65.25" thickBot="1">
      <c r="A15" s="83" t="s">
        <v>32</v>
      </c>
      <c r="B15" s="25" t="s">
        <v>182</v>
      </c>
      <c r="C15" s="84"/>
      <c r="D15" s="86"/>
      <c r="E15" s="86"/>
      <c r="F15" s="86"/>
      <c r="G15" s="86"/>
      <c r="H15" s="86"/>
      <c r="I15" s="86"/>
      <c r="J15" s="86"/>
      <c r="K15" s="86">
        <v>100</v>
      </c>
      <c r="L15" s="86"/>
      <c r="M15" s="86"/>
      <c r="N15" s="87"/>
      <c r="O15" s="84"/>
      <c r="P15" s="87"/>
      <c r="Q15" s="84"/>
      <c r="R15" s="87"/>
      <c r="S15" s="84"/>
      <c r="T15" s="87"/>
      <c r="U15" s="84"/>
      <c r="V15" s="84"/>
      <c r="W15" s="87"/>
      <c r="X15" s="84"/>
      <c r="Y15" s="84"/>
      <c r="Z15" s="87"/>
      <c r="AA15" s="84"/>
      <c r="AB15" s="87"/>
      <c r="AC15" s="88"/>
      <c r="AD15" s="83"/>
    </row>
    <row r="16" spans="1:30" ht="65.25" thickBot="1">
      <c r="A16" s="83"/>
      <c r="B16" s="22" t="s">
        <v>29</v>
      </c>
      <c r="C16" s="86">
        <f aca="true" t="shared" si="1" ref="C16:AC16">SUM(C15)</f>
        <v>0</v>
      </c>
      <c r="D16" s="86">
        <f>SUM(D15)</f>
        <v>0</v>
      </c>
      <c r="E16" s="86">
        <f t="shared" si="1"/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100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86">
        <f t="shared" si="1"/>
        <v>0</v>
      </c>
      <c r="R16" s="86">
        <f t="shared" si="1"/>
        <v>0</v>
      </c>
      <c r="S16" s="86">
        <f t="shared" si="1"/>
        <v>0</v>
      </c>
      <c r="T16" s="86">
        <f t="shared" si="1"/>
        <v>0</v>
      </c>
      <c r="U16" s="86">
        <f t="shared" si="1"/>
        <v>0</v>
      </c>
      <c r="V16" s="86">
        <f t="shared" si="1"/>
        <v>0</v>
      </c>
      <c r="W16" s="86">
        <f t="shared" si="1"/>
        <v>0</v>
      </c>
      <c r="X16" s="86">
        <f t="shared" si="1"/>
        <v>0</v>
      </c>
      <c r="Y16" s="86">
        <f t="shared" si="1"/>
        <v>0</v>
      </c>
      <c r="Z16" s="86">
        <f t="shared" si="1"/>
        <v>0</v>
      </c>
      <c r="AA16" s="86">
        <f t="shared" si="1"/>
        <v>0</v>
      </c>
      <c r="AB16" s="86">
        <f t="shared" si="1"/>
        <v>0</v>
      </c>
      <c r="AC16" s="87">
        <f t="shared" si="1"/>
        <v>0</v>
      </c>
      <c r="AD16" s="83">
        <f>SUM(AD15)</f>
        <v>0</v>
      </c>
    </row>
    <row r="17" spans="1:30" ht="65.25" thickBot="1">
      <c r="A17" s="150" t="s">
        <v>31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2"/>
    </row>
    <row r="18" spans="1:30" ht="194.25" thickBot="1">
      <c r="A18" s="84">
        <v>38</v>
      </c>
      <c r="B18" s="22" t="s">
        <v>268</v>
      </c>
      <c r="C18" s="84"/>
      <c r="D18" s="86"/>
      <c r="E18" s="86"/>
      <c r="F18" s="86"/>
      <c r="G18" s="86"/>
      <c r="H18" s="86"/>
      <c r="I18" s="86"/>
      <c r="J18" s="86">
        <v>35</v>
      </c>
      <c r="K18" s="86"/>
      <c r="L18" s="86"/>
      <c r="M18" s="86"/>
      <c r="N18" s="87"/>
      <c r="O18" s="83"/>
      <c r="P18" s="87"/>
      <c r="Q18" s="83"/>
      <c r="R18" s="87"/>
      <c r="S18" s="83"/>
      <c r="T18" s="87"/>
      <c r="U18" s="84"/>
      <c r="V18" s="83"/>
      <c r="W18" s="87"/>
      <c r="X18" s="84"/>
      <c r="Y18" s="83"/>
      <c r="Z18" s="87"/>
      <c r="AA18" s="83"/>
      <c r="AB18" s="84"/>
      <c r="AC18" s="88"/>
      <c r="AD18" s="80"/>
    </row>
    <row r="19" spans="1:30" ht="129.75" thickBot="1">
      <c r="A19" s="83">
        <v>46</v>
      </c>
      <c r="B19" s="22" t="s">
        <v>72</v>
      </c>
      <c r="C19" s="84"/>
      <c r="D19" s="86"/>
      <c r="E19" s="86"/>
      <c r="F19" s="86"/>
      <c r="G19" s="86">
        <v>4</v>
      </c>
      <c r="H19" s="86"/>
      <c r="I19" s="86">
        <v>45</v>
      </c>
      <c r="J19" s="86">
        <v>17</v>
      </c>
      <c r="K19" s="86"/>
      <c r="L19" s="86"/>
      <c r="M19" s="86"/>
      <c r="N19" s="87"/>
      <c r="O19" s="83"/>
      <c r="P19" s="87">
        <v>2</v>
      </c>
      <c r="Q19" s="83"/>
      <c r="R19" s="87"/>
      <c r="S19" s="83"/>
      <c r="T19" s="87"/>
      <c r="U19" s="83"/>
      <c r="V19" s="83">
        <v>10</v>
      </c>
      <c r="W19" s="87"/>
      <c r="X19" s="83"/>
      <c r="Y19" s="84">
        <v>7</v>
      </c>
      <c r="Z19" s="87"/>
      <c r="AA19" s="83"/>
      <c r="AB19" s="83"/>
      <c r="AC19" s="87"/>
      <c r="AD19" s="83"/>
    </row>
    <row r="20" spans="1:30" ht="65.25" thickBot="1">
      <c r="A20" s="83">
        <v>96</v>
      </c>
      <c r="B20" s="22" t="s">
        <v>46</v>
      </c>
      <c r="C20" s="84"/>
      <c r="D20" s="86"/>
      <c r="E20" s="86"/>
      <c r="F20" s="86"/>
      <c r="G20" s="86">
        <v>6</v>
      </c>
      <c r="H20" s="86"/>
      <c r="I20" s="86"/>
      <c r="J20" s="86">
        <v>66</v>
      </c>
      <c r="K20" s="86"/>
      <c r="L20" s="86"/>
      <c r="M20" s="86"/>
      <c r="N20" s="87"/>
      <c r="O20" s="83"/>
      <c r="P20" s="87"/>
      <c r="Q20" s="83">
        <v>5.5</v>
      </c>
      <c r="R20" s="87">
        <v>3</v>
      </c>
      <c r="S20" s="83"/>
      <c r="T20" s="87"/>
      <c r="U20" s="83"/>
      <c r="V20" s="83">
        <v>40</v>
      </c>
      <c r="W20" s="87"/>
      <c r="X20" s="83"/>
      <c r="Y20" s="83"/>
      <c r="Z20" s="87"/>
      <c r="AA20" s="83"/>
      <c r="AB20" s="83"/>
      <c r="AC20" s="90"/>
      <c r="AD20" s="83"/>
    </row>
    <row r="21" spans="1:30" ht="65.25" thickBot="1">
      <c r="A21" s="83">
        <v>89</v>
      </c>
      <c r="B21" s="22" t="s">
        <v>230</v>
      </c>
      <c r="C21" s="84"/>
      <c r="D21" s="86"/>
      <c r="E21" s="86">
        <v>0.5</v>
      </c>
      <c r="F21" s="86"/>
      <c r="G21" s="86"/>
      <c r="H21" s="86"/>
      <c r="I21" s="86"/>
      <c r="J21" s="86"/>
      <c r="K21" s="86"/>
      <c r="L21" s="86"/>
      <c r="M21" s="86"/>
      <c r="N21" s="87"/>
      <c r="O21" s="83"/>
      <c r="P21" s="87">
        <v>0.5</v>
      </c>
      <c r="Q21" s="83"/>
      <c r="R21" s="87"/>
      <c r="S21" s="83"/>
      <c r="T21" s="83"/>
      <c r="U21" s="87"/>
      <c r="V21" s="83"/>
      <c r="W21" s="87"/>
      <c r="X21" s="83"/>
      <c r="Y21" s="83">
        <v>8</v>
      </c>
      <c r="Z21" s="87"/>
      <c r="AA21" s="83"/>
      <c r="AB21" s="87"/>
      <c r="AC21" s="90"/>
      <c r="AD21" s="83"/>
    </row>
    <row r="22" spans="1:30" ht="65.25" thickBot="1">
      <c r="A22" s="83">
        <v>9</v>
      </c>
      <c r="B22" s="22" t="s">
        <v>43</v>
      </c>
      <c r="C22" s="84"/>
      <c r="D22" s="86"/>
      <c r="E22" s="86"/>
      <c r="F22" s="86"/>
      <c r="G22" s="86"/>
      <c r="H22" s="86"/>
      <c r="I22" s="86"/>
      <c r="J22" s="86"/>
      <c r="K22" s="86"/>
      <c r="L22" s="86"/>
      <c r="M22" s="86">
        <v>15</v>
      </c>
      <c r="N22" s="87"/>
      <c r="O22" s="83">
        <v>10</v>
      </c>
      <c r="P22" s="87"/>
      <c r="Q22" s="83"/>
      <c r="R22" s="87"/>
      <c r="S22" s="83"/>
      <c r="T22" s="83"/>
      <c r="U22" s="87"/>
      <c r="V22" s="83"/>
      <c r="W22" s="87"/>
      <c r="X22" s="83"/>
      <c r="Y22" s="83"/>
      <c r="Z22" s="87"/>
      <c r="AA22" s="83"/>
      <c r="AB22" s="87"/>
      <c r="AC22" s="90"/>
      <c r="AD22" s="83"/>
    </row>
    <row r="23" spans="1:30" ht="129.75" thickBot="1">
      <c r="A23" s="83" t="s">
        <v>32</v>
      </c>
      <c r="B23" s="22" t="s">
        <v>56</v>
      </c>
      <c r="C23" s="84">
        <v>20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3"/>
      <c r="V23" s="86"/>
      <c r="W23" s="87"/>
      <c r="X23" s="83"/>
      <c r="Y23" s="86"/>
      <c r="Z23" s="86"/>
      <c r="AA23" s="86"/>
      <c r="AB23" s="86"/>
      <c r="AC23" s="87"/>
      <c r="AD23" s="83"/>
    </row>
    <row r="24" spans="1:30" ht="129.75" thickBot="1">
      <c r="A24" s="83" t="s">
        <v>32</v>
      </c>
      <c r="B24" s="22" t="s">
        <v>58</v>
      </c>
      <c r="C24" s="84"/>
      <c r="D24" s="86">
        <v>40</v>
      </c>
      <c r="E24" s="86"/>
      <c r="F24" s="86"/>
      <c r="G24" s="86"/>
      <c r="H24" s="86"/>
      <c r="I24" s="86"/>
      <c r="J24" s="86"/>
      <c r="K24" s="86"/>
      <c r="L24" s="86"/>
      <c r="M24" s="86"/>
      <c r="N24" s="88"/>
      <c r="O24" s="84"/>
      <c r="P24" s="85"/>
      <c r="Q24" s="85"/>
      <c r="R24" s="85"/>
      <c r="S24" s="85"/>
      <c r="T24" s="84"/>
      <c r="U24" s="91"/>
      <c r="V24" s="84"/>
      <c r="W24" s="91"/>
      <c r="X24" s="84"/>
      <c r="Y24" s="85"/>
      <c r="Z24" s="91"/>
      <c r="AA24" s="84"/>
      <c r="AB24" s="85"/>
      <c r="AC24" s="91"/>
      <c r="AD24" s="84"/>
    </row>
    <row r="25" spans="1:30" ht="65.25" thickBot="1">
      <c r="A25" s="84"/>
      <c r="B25" s="25" t="s">
        <v>29</v>
      </c>
      <c r="C25" s="84">
        <f aca="true" t="shared" si="2" ref="C25:AD25">SUM(C18:C24)</f>
        <v>20</v>
      </c>
      <c r="D25" s="84">
        <f t="shared" si="2"/>
        <v>40</v>
      </c>
      <c r="E25" s="84">
        <f t="shared" si="2"/>
        <v>0.5</v>
      </c>
      <c r="F25" s="84">
        <f t="shared" si="2"/>
        <v>0</v>
      </c>
      <c r="G25" s="84">
        <f t="shared" si="2"/>
        <v>10</v>
      </c>
      <c r="H25" s="84">
        <f t="shared" si="2"/>
        <v>0</v>
      </c>
      <c r="I25" s="84">
        <f t="shared" si="2"/>
        <v>45</v>
      </c>
      <c r="J25" s="84">
        <f t="shared" si="2"/>
        <v>118</v>
      </c>
      <c r="K25" s="84">
        <f t="shared" si="2"/>
        <v>0</v>
      </c>
      <c r="L25" s="84">
        <f t="shared" si="2"/>
        <v>0</v>
      </c>
      <c r="M25" s="84">
        <f t="shared" si="2"/>
        <v>15</v>
      </c>
      <c r="N25" s="84">
        <f t="shared" si="2"/>
        <v>0</v>
      </c>
      <c r="O25" s="84">
        <f t="shared" si="2"/>
        <v>10</v>
      </c>
      <c r="P25" s="84">
        <f t="shared" si="2"/>
        <v>2.5</v>
      </c>
      <c r="Q25" s="84">
        <f t="shared" si="2"/>
        <v>5.5</v>
      </c>
      <c r="R25" s="84">
        <f t="shared" si="2"/>
        <v>3</v>
      </c>
      <c r="S25" s="84">
        <f t="shared" si="2"/>
        <v>0</v>
      </c>
      <c r="T25" s="84">
        <f t="shared" si="2"/>
        <v>0</v>
      </c>
      <c r="U25" s="84">
        <f t="shared" si="2"/>
        <v>0</v>
      </c>
      <c r="V25" s="84">
        <f t="shared" si="2"/>
        <v>50</v>
      </c>
      <c r="W25" s="84">
        <f t="shared" si="2"/>
        <v>0</v>
      </c>
      <c r="X25" s="84">
        <f t="shared" si="2"/>
        <v>0</v>
      </c>
      <c r="Y25" s="84">
        <f t="shared" si="2"/>
        <v>15</v>
      </c>
      <c r="Z25" s="84">
        <f t="shared" si="2"/>
        <v>0</v>
      </c>
      <c r="AA25" s="84">
        <f t="shared" si="2"/>
        <v>0</v>
      </c>
      <c r="AB25" s="84">
        <f t="shared" si="2"/>
        <v>0</v>
      </c>
      <c r="AC25" s="88">
        <f t="shared" si="2"/>
        <v>0</v>
      </c>
      <c r="AD25" s="84">
        <f t="shared" si="2"/>
        <v>0</v>
      </c>
    </row>
    <row r="26" spans="1:30" ht="65.25" thickBot="1">
      <c r="A26" s="150" t="s">
        <v>145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2"/>
    </row>
    <row r="27" spans="1:30" ht="129.75" thickBot="1">
      <c r="A27" s="92">
        <v>21.1</v>
      </c>
      <c r="B27" s="27" t="s">
        <v>172</v>
      </c>
      <c r="C27" s="83"/>
      <c r="D27" s="86"/>
      <c r="E27" s="83"/>
      <c r="F27" s="83"/>
      <c r="G27" s="83"/>
      <c r="H27" s="86"/>
      <c r="I27" s="86"/>
      <c r="J27" s="86"/>
      <c r="K27" s="86"/>
      <c r="L27" s="86"/>
      <c r="M27" s="86"/>
      <c r="N27" s="87"/>
      <c r="O27" s="84"/>
      <c r="P27" s="87"/>
      <c r="Q27" s="84"/>
      <c r="R27" s="87"/>
      <c r="S27" s="84">
        <v>155</v>
      </c>
      <c r="T27" s="87"/>
      <c r="U27" s="84"/>
      <c r="V27" s="84"/>
      <c r="W27" s="87"/>
      <c r="X27" s="84"/>
      <c r="Y27" s="84"/>
      <c r="Z27" s="87"/>
      <c r="AA27" s="84"/>
      <c r="AB27" s="84"/>
      <c r="AC27" s="88"/>
      <c r="AD27" s="83"/>
    </row>
    <row r="28" spans="1:30" ht="194.25" thickBot="1">
      <c r="A28" s="83">
        <v>24</v>
      </c>
      <c r="B28" s="22" t="s">
        <v>105</v>
      </c>
      <c r="C28" s="84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>
        <v>30</v>
      </c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  <c r="AD28" s="83"/>
    </row>
    <row r="29" spans="1:30" ht="65.25" thickBot="1">
      <c r="A29" s="84"/>
      <c r="B29" s="25" t="s">
        <v>29</v>
      </c>
      <c r="C29" s="84">
        <f>C27+C28</f>
        <v>0</v>
      </c>
      <c r="D29" s="84">
        <f aca="true" t="shared" si="3" ref="D29:AD29">D27+D28</f>
        <v>0</v>
      </c>
      <c r="E29" s="84">
        <f t="shared" si="3"/>
        <v>0</v>
      </c>
      <c r="F29" s="84">
        <f t="shared" si="3"/>
        <v>0</v>
      </c>
      <c r="G29" s="84">
        <f t="shared" si="3"/>
        <v>0</v>
      </c>
      <c r="H29" s="84">
        <f t="shared" si="3"/>
        <v>0</v>
      </c>
      <c r="I29" s="84">
        <f t="shared" si="3"/>
        <v>0</v>
      </c>
      <c r="J29" s="84">
        <f t="shared" si="3"/>
        <v>0</v>
      </c>
      <c r="K29" s="84">
        <f t="shared" si="3"/>
        <v>0</v>
      </c>
      <c r="L29" s="84">
        <f t="shared" si="3"/>
        <v>0</v>
      </c>
      <c r="M29" s="84">
        <f t="shared" si="3"/>
        <v>0</v>
      </c>
      <c r="N29" s="84">
        <f t="shared" si="3"/>
        <v>30</v>
      </c>
      <c r="O29" s="84">
        <f t="shared" si="3"/>
        <v>0</v>
      </c>
      <c r="P29" s="84">
        <f t="shared" si="3"/>
        <v>0</v>
      </c>
      <c r="Q29" s="84">
        <f t="shared" si="3"/>
        <v>0</v>
      </c>
      <c r="R29" s="84">
        <f t="shared" si="3"/>
        <v>0</v>
      </c>
      <c r="S29" s="84">
        <f t="shared" si="3"/>
        <v>155</v>
      </c>
      <c r="T29" s="84">
        <f t="shared" si="3"/>
        <v>0</v>
      </c>
      <c r="U29" s="84">
        <f t="shared" si="3"/>
        <v>0</v>
      </c>
      <c r="V29" s="84">
        <f t="shared" si="3"/>
        <v>0</v>
      </c>
      <c r="W29" s="84">
        <f t="shared" si="3"/>
        <v>0</v>
      </c>
      <c r="X29" s="84">
        <f t="shared" si="3"/>
        <v>0</v>
      </c>
      <c r="Y29" s="84">
        <f t="shared" si="3"/>
        <v>0</v>
      </c>
      <c r="Z29" s="84">
        <f t="shared" si="3"/>
        <v>0</v>
      </c>
      <c r="AA29" s="84">
        <f t="shared" si="3"/>
        <v>0</v>
      </c>
      <c r="AB29" s="84">
        <f t="shared" si="3"/>
        <v>0</v>
      </c>
      <c r="AC29" s="84">
        <f t="shared" si="3"/>
        <v>0</v>
      </c>
      <c r="AD29" s="84">
        <f t="shared" si="3"/>
        <v>0</v>
      </c>
    </row>
    <row r="30" spans="1:30" ht="65.25" thickBot="1">
      <c r="A30" s="150" t="s">
        <v>144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2"/>
    </row>
    <row r="31" spans="1:30" ht="81.75" customHeight="1" thickBot="1">
      <c r="A31" s="83">
        <v>67</v>
      </c>
      <c r="B31" s="22" t="s">
        <v>180</v>
      </c>
      <c r="C31" s="84"/>
      <c r="D31" s="86"/>
      <c r="E31" s="86"/>
      <c r="F31" s="86"/>
      <c r="G31" s="86"/>
      <c r="H31" s="86"/>
      <c r="I31" s="86">
        <v>54</v>
      </c>
      <c r="J31" s="86">
        <v>16</v>
      </c>
      <c r="K31" s="86"/>
      <c r="L31" s="86"/>
      <c r="M31" s="86"/>
      <c r="N31" s="87"/>
      <c r="O31" s="83"/>
      <c r="P31" s="87"/>
      <c r="Q31" s="83">
        <v>3</v>
      </c>
      <c r="R31" s="87"/>
      <c r="S31" s="83"/>
      <c r="T31" s="83"/>
      <c r="U31" s="87"/>
      <c r="V31" s="83"/>
      <c r="W31" s="87"/>
      <c r="X31" s="84">
        <v>50</v>
      </c>
      <c r="Y31" s="84"/>
      <c r="Z31" s="87"/>
      <c r="AA31" s="83"/>
      <c r="AB31" s="87"/>
      <c r="AC31" s="90"/>
      <c r="AD31" s="83"/>
    </row>
    <row r="32" spans="1:30" ht="132.75" customHeight="1" thickBot="1">
      <c r="A32" s="83" t="s">
        <v>32</v>
      </c>
      <c r="B32" s="22" t="s">
        <v>56</v>
      </c>
      <c r="C32" s="86">
        <v>15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3"/>
      <c r="V32" s="86"/>
      <c r="W32" s="87"/>
      <c r="X32" s="83"/>
      <c r="Y32" s="86"/>
      <c r="Z32" s="86"/>
      <c r="AA32" s="86"/>
      <c r="AB32" s="86"/>
      <c r="AC32" s="87"/>
      <c r="AD32" s="83"/>
    </row>
    <row r="33" spans="1:30" ht="78.75" customHeight="1" thickBot="1">
      <c r="A33" s="83">
        <v>76</v>
      </c>
      <c r="B33" s="23" t="s">
        <v>171</v>
      </c>
      <c r="C33" s="84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3"/>
      <c r="O33" s="84">
        <v>8</v>
      </c>
      <c r="P33" s="83"/>
      <c r="Q33" s="87"/>
      <c r="R33" s="83"/>
      <c r="S33" s="84">
        <v>72</v>
      </c>
      <c r="T33" s="83"/>
      <c r="U33" s="87"/>
      <c r="V33" s="83"/>
      <c r="W33" s="87"/>
      <c r="X33" s="83"/>
      <c r="Y33" s="87"/>
      <c r="Z33" s="83"/>
      <c r="AA33" s="84">
        <v>0.48</v>
      </c>
      <c r="AB33" s="83"/>
      <c r="AC33" s="90"/>
      <c r="AD33" s="84"/>
    </row>
    <row r="34" spans="1:30" ht="129.75" thickBot="1">
      <c r="A34" s="83">
        <v>69</v>
      </c>
      <c r="B34" s="22" t="s">
        <v>106</v>
      </c>
      <c r="C34" s="84"/>
      <c r="D34" s="86"/>
      <c r="E34" s="86"/>
      <c r="F34" s="86"/>
      <c r="G34" s="86"/>
      <c r="H34" s="86"/>
      <c r="I34" s="86"/>
      <c r="J34" s="86"/>
      <c r="K34" s="86"/>
      <c r="L34" s="86">
        <v>85</v>
      </c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7"/>
      <c r="AD34" s="84"/>
    </row>
    <row r="35" spans="1:30" ht="65.25" thickBot="1">
      <c r="A35" s="80"/>
      <c r="B35" s="22" t="s">
        <v>6</v>
      </c>
      <c r="C35" s="84">
        <f aca="true" t="shared" si="4" ref="C35:AD35">SUM(C31:C34)</f>
        <v>15</v>
      </c>
      <c r="D35" s="84">
        <f t="shared" si="4"/>
        <v>0</v>
      </c>
      <c r="E35" s="84">
        <f t="shared" si="4"/>
        <v>0</v>
      </c>
      <c r="F35" s="84">
        <f t="shared" si="4"/>
        <v>0</v>
      </c>
      <c r="G35" s="84">
        <f t="shared" si="4"/>
        <v>0</v>
      </c>
      <c r="H35" s="84">
        <f t="shared" si="4"/>
        <v>0</v>
      </c>
      <c r="I35" s="84">
        <f t="shared" si="4"/>
        <v>54</v>
      </c>
      <c r="J35" s="84">
        <f t="shared" si="4"/>
        <v>16</v>
      </c>
      <c r="K35" s="84">
        <f t="shared" si="4"/>
        <v>0</v>
      </c>
      <c r="L35" s="84">
        <f t="shared" si="4"/>
        <v>85</v>
      </c>
      <c r="M35" s="84">
        <f t="shared" si="4"/>
        <v>0</v>
      </c>
      <c r="N35" s="84">
        <f t="shared" si="4"/>
        <v>0</v>
      </c>
      <c r="O35" s="84">
        <f t="shared" si="4"/>
        <v>8</v>
      </c>
      <c r="P35" s="84">
        <f t="shared" si="4"/>
        <v>0</v>
      </c>
      <c r="Q35" s="84">
        <f t="shared" si="4"/>
        <v>3</v>
      </c>
      <c r="R35" s="84">
        <f t="shared" si="4"/>
        <v>0</v>
      </c>
      <c r="S35" s="84">
        <f t="shared" si="4"/>
        <v>72</v>
      </c>
      <c r="T35" s="84">
        <f t="shared" si="4"/>
        <v>0</v>
      </c>
      <c r="U35" s="84">
        <f t="shared" si="4"/>
        <v>0</v>
      </c>
      <c r="V35" s="84">
        <f t="shared" si="4"/>
        <v>0</v>
      </c>
      <c r="W35" s="84">
        <f t="shared" si="4"/>
        <v>0</v>
      </c>
      <c r="X35" s="84">
        <f t="shared" si="4"/>
        <v>50</v>
      </c>
      <c r="Y35" s="84">
        <f t="shared" si="4"/>
        <v>0</v>
      </c>
      <c r="Z35" s="84">
        <f t="shared" si="4"/>
        <v>0</v>
      </c>
      <c r="AA35" s="84">
        <f t="shared" si="4"/>
        <v>0.48</v>
      </c>
      <c r="AB35" s="84">
        <f t="shared" si="4"/>
        <v>0</v>
      </c>
      <c r="AC35" s="88">
        <f t="shared" si="4"/>
        <v>0</v>
      </c>
      <c r="AD35" s="84">
        <f t="shared" si="4"/>
        <v>0</v>
      </c>
    </row>
    <row r="36" spans="1:30" ht="194.25" thickBot="1">
      <c r="A36" s="145"/>
      <c r="B36" s="22" t="s">
        <v>148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8"/>
      <c r="AD36" s="84"/>
    </row>
    <row r="37" spans="1:30" ht="65.25" thickBot="1">
      <c r="A37" s="83"/>
      <c r="B37" s="93" t="s">
        <v>10</v>
      </c>
      <c r="C37" s="84">
        <f aca="true" t="shared" si="5" ref="C37:AD37">C13+C16+C25+C29+C35</f>
        <v>55</v>
      </c>
      <c r="D37" s="84">
        <f t="shared" si="5"/>
        <v>40</v>
      </c>
      <c r="E37" s="84">
        <f t="shared" si="5"/>
        <v>0.5</v>
      </c>
      <c r="F37" s="84">
        <f t="shared" si="5"/>
        <v>0</v>
      </c>
      <c r="G37" s="84">
        <f t="shared" si="5"/>
        <v>10</v>
      </c>
      <c r="H37" s="84">
        <f t="shared" si="5"/>
        <v>42</v>
      </c>
      <c r="I37" s="84">
        <f t="shared" si="5"/>
        <v>99</v>
      </c>
      <c r="J37" s="84">
        <f t="shared" si="5"/>
        <v>176</v>
      </c>
      <c r="K37" s="84">
        <f t="shared" si="5"/>
        <v>100</v>
      </c>
      <c r="L37" s="84">
        <f t="shared" si="5"/>
        <v>89</v>
      </c>
      <c r="M37" s="84">
        <f t="shared" si="5"/>
        <v>15</v>
      </c>
      <c r="N37" s="84">
        <f t="shared" si="5"/>
        <v>30</v>
      </c>
      <c r="O37" s="84">
        <f t="shared" si="5"/>
        <v>28</v>
      </c>
      <c r="P37" s="84">
        <f t="shared" si="5"/>
        <v>12.5</v>
      </c>
      <c r="Q37" s="84">
        <f t="shared" si="5"/>
        <v>8.5</v>
      </c>
      <c r="R37" s="84">
        <f t="shared" si="5"/>
        <v>3</v>
      </c>
      <c r="S37" s="84">
        <f t="shared" si="5"/>
        <v>227</v>
      </c>
      <c r="T37" s="84">
        <f t="shared" si="5"/>
        <v>0</v>
      </c>
      <c r="U37" s="84">
        <f t="shared" si="5"/>
        <v>0</v>
      </c>
      <c r="V37" s="84">
        <f t="shared" si="5"/>
        <v>50</v>
      </c>
      <c r="W37" s="84">
        <f t="shared" si="5"/>
        <v>0</v>
      </c>
      <c r="X37" s="84">
        <f t="shared" si="5"/>
        <v>50</v>
      </c>
      <c r="Y37" s="84">
        <f t="shared" si="5"/>
        <v>15</v>
      </c>
      <c r="Z37" s="84">
        <f t="shared" si="5"/>
        <v>10</v>
      </c>
      <c r="AA37" s="84">
        <f t="shared" si="5"/>
        <v>0.96</v>
      </c>
      <c r="AB37" s="84">
        <f t="shared" si="5"/>
        <v>0</v>
      </c>
      <c r="AC37" s="88">
        <f t="shared" si="5"/>
        <v>0</v>
      </c>
      <c r="AD37" s="84">
        <f t="shared" si="5"/>
        <v>0</v>
      </c>
    </row>
    <row r="38" spans="1:30" ht="65.25" thickBot="1">
      <c r="A38" s="150" t="s">
        <v>62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2"/>
    </row>
    <row r="39" spans="1:30" ht="65.25" thickBot="1">
      <c r="A39" s="150" t="s">
        <v>14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2"/>
    </row>
    <row r="40" spans="1:30" ht="45.75" customHeight="1">
      <c r="A40" s="166" t="s">
        <v>30</v>
      </c>
      <c r="B40" s="168" t="s">
        <v>23</v>
      </c>
      <c r="C40" s="153" t="s">
        <v>116</v>
      </c>
      <c r="D40" s="153" t="s">
        <v>117</v>
      </c>
      <c r="E40" s="153" t="s">
        <v>118</v>
      </c>
      <c r="F40" s="153" t="s">
        <v>119</v>
      </c>
      <c r="G40" s="153" t="s">
        <v>120</v>
      </c>
      <c r="H40" s="153" t="s">
        <v>121</v>
      </c>
      <c r="I40" s="153" t="s">
        <v>110</v>
      </c>
      <c r="J40" s="153" t="s">
        <v>257</v>
      </c>
      <c r="K40" s="140"/>
      <c r="L40" s="153" t="s">
        <v>142</v>
      </c>
      <c r="M40" s="153" t="s">
        <v>79</v>
      </c>
      <c r="N40" s="153" t="s">
        <v>123</v>
      </c>
      <c r="O40" s="153" t="s">
        <v>80</v>
      </c>
      <c r="P40" s="153" t="s">
        <v>124</v>
      </c>
      <c r="Q40" s="153" t="s">
        <v>81</v>
      </c>
      <c r="R40" s="153" t="s">
        <v>125</v>
      </c>
      <c r="S40" s="153" t="s">
        <v>126</v>
      </c>
      <c r="T40" s="153" t="s">
        <v>127</v>
      </c>
      <c r="U40" s="140"/>
      <c r="V40" s="153" t="s">
        <v>113</v>
      </c>
      <c r="W40" s="153" t="s">
        <v>129</v>
      </c>
      <c r="X40" s="153" t="s">
        <v>84</v>
      </c>
      <c r="Y40" s="153" t="s">
        <v>82</v>
      </c>
      <c r="Z40" s="153" t="s">
        <v>83</v>
      </c>
      <c r="AA40" s="153" t="s">
        <v>85</v>
      </c>
      <c r="AB40" s="140"/>
      <c r="AC40" s="158" t="s">
        <v>78</v>
      </c>
      <c r="AD40" s="153" t="s">
        <v>138</v>
      </c>
    </row>
    <row r="41" spans="1:30" ht="409.5" customHeight="1" thickBot="1">
      <c r="A41" s="167"/>
      <c r="B41" s="169"/>
      <c r="C41" s="154"/>
      <c r="D41" s="154"/>
      <c r="E41" s="154"/>
      <c r="F41" s="154"/>
      <c r="G41" s="154"/>
      <c r="H41" s="154"/>
      <c r="I41" s="154"/>
      <c r="J41" s="154"/>
      <c r="K41" s="141" t="s">
        <v>122</v>
      </c>
      <c r="L41" s="154"/>
      <c r="M41" s="154"/>
      <c r="N41" s="154"/>
      <c r="O41" s="154"/>
      <c r="P41" s="154"/>
      <c r="Q41" s="154"/>
      <c r="R41" s="154"/>
      <c r="S41" s="154"/>
      <c r="T41" s="154"/>
      <c r="U41" s="141" t="s">
        <v>128</v>
      </c>
      <c r="V41" s="154"/>
      <c r="W41" s="154"/>
      <c r="X41" s="154"/>
      <c r="Y41" s="154"/>
      <c r="Z41" s="154"/>
      <c r="AA41" s="154"/>
      <c r="AB41" s="141" t="s">
        <v>77</v>
      </c>
      <c r="AC41" s="159"/>
      <c r="AD41" s="154"/>
    </row>
    <row r="42" spans="1:30" ht="65.25" thickBot="1">
      <c r="A42" s="145">
        <v>1</v>
      </c>
      <c r="B42" s="79">
        <v>2</v>
      </c>
      <c r="C42" s="80" t="s">
        <v>54</v>
      </c>
      <c r="D42" s="81">
        <v>4</v>
      </c>
      <c r="E42" s="80">
        <v>5</v>
      </c>
      <c r="F42" s="80">
        <v>6</v>
      </c>
      <c r="G42" s="80">
        <v>7</v>
      </c>
      <c r="H42" s="80">
        <v>8</v>
      </c>
      <c r="I42" s="80" t="s">
        <v>55</v>
      </c>
      <c r="J42" s="81">
        <v>10</v>
      </c>
      <c r="K42" s="80">
        <v>11</v>
      </c>
      <c r="L42" s="80">
        <v>12</v>
      </c>
      <c r="M42" s="80">
        <v>13</v>
      </c>
      <c r="N42" s="80">
        <v>14</v>
      </c>
      <c r="O42" s="80">
        <v>15</v>
      </c>
      <c r="P42" s="143">
        <v>16</v>
      </c>
      <c r="Q42" s="80">
        <v>17</v>
      </c>
      <c r="R42" s="143">
        <v>18</v>
      </c>
      <c r="S42" s="80">
        <v>19</v>
      </c>
      <c r="T42" s="143">
        <v>20</v>
      </c>
      <c r="U42" s="143">
        <v>21</v>
      </c>
      <c r="V42" s="80">
        <v>22</v>
      </c>
      <c r="W42" s="80">
        <v>23</v>
      </c>
      <c r="X42" s="143">
        <v>24</v>
      </c>
      <c r="Y42" s="80">
        <v>25</v>
      </c>
      <c r="Z42" s="80">
        <v>26</v>
      </c>
      <c r="AA42" s="80">
        <v>27</v>
      </c>
      <c r="AB42" s="143">
        <v>28</v>
      </c>
      <c r="AC42" s="142">
        <v>29</v>
      </c>
      <c r="AD42" s="80">
        <v>31</v>
      </c>
    </row>
    <row r="43" spans="1:30" ht="65.25" thickBot="1">
      <c r="A43" s="150" t="s">
        <v>5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2"/>
    </row>
    <row r="44" spans="1:30" ht="129.75" thickBot="1">
      <c r="A44" s="84">
        <v>45</v>
      </c>
      <c r="B44" s="25" t="s">
        <v>203</v>
      </c>
      <c r="C44" s="84"/>
      <c r="D44" s="85"/>
      <c r="E44" s="85"/>
      <c r="F44" s="85"/>
      <c r="G44" s="85">
        <v>23</v>
      </c>
      <c r="H44" s="86"/>
      <c r="I44" s="86"/>
      <c r="J44" s="86"/>
      <c r="K44" s="86"/>
      <c r="L44" s="86"/>
      <c r="M44" s="86"/>
      <c r="N44" s="87"/>
      <c r="O44" s="84">
        <v>4</v>
      </c>
      <c r="P44" s="87">
        <v>2</v>
      </c>
      <c r="Q44" s="84"/>
      <c r="R44" s="87"/>
      <c r="S44" s="84">
        <v>113</v>
      </c>
      <c r="T44" s="87"/>
      <c r="U44" s="84"/>
      <c r="V44" s="84"/>
      <c r="W44" s="84"/>
      <c r="X44" s="87"/>
      <c r="Y44" s="84"/>
      <c r="Z44" s="84"/>
      <c r="AA44" s="84"/>
      <c r="AB44" s="87"/>
      <c r="AC44" s="88"/>
      <c r="AD44" s="84"/>
    </row>
    <row r="45" spans="1:30" ht="65.25" thickBot="1">
      <c r="A45" s="84">
        <v>15</v>
      </c>
      <c r="B45" s="23" t="s">
        <v>224</v>
      </c>
      <c r="C45" s="84"/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7"/>
      <c r="O45" s="84">
        <v>8</v>
      </c>
      <c r="P45" s="87"/>
      <c r="Q45" s="84"/>
      <c r="R45" s="87"/>
      <c r="S45" s="84">
        <v>90</v>
      </c>
      <c r="T45" s="84"/>
      <c r="U45" s="87"/>
      <c r="V45" s="84"/>
      <c r="W45" s="87"/>
      <c r="X45" s="84"/>
      <c r="Y45" s="84"/>
      <c r="Z45" s="87"/>
      <c r="AA45" s="84"/>
      <c r="AB45" s="84"/>
      <c r="AC45" s="90">
        <v>1.1</v>
      </c>
      <c r="AD45" s="83"/>
    </row>
    <row r="46" spans="1:30" ht="65.25" thickBot="1">
      <c r="A46" s="83">
        <v>86</v>
      </c>
      <c r="B46" s="22" t="s">
        <v>206</v>
      </c>
      <c r="C46" s="86">
        <v>20</v>
      </c>
      <c r="D46" s="85"/>
      <c r="E46" s="85"/>
      <c r="F46" s="85"/>
      <c r="G46" s="85"/>
      <c r="H46" s="86"/>
      <c r="I46" s="86"/>
      <c r="J46" s="86"/>
      <c r="K46" s="86"/>
      <c r="L46" s="86">
        <v>10</v>
      </c>
      <c r="M46" s="86"/>
      <c r="N46" s="87"/>
      <c r="O46" s="84"/>
      <c r="P46" s="84"/>
      <c r="Q46" s="84"/>
      <c r="R46" s="87"/>
      <c r="S46" s="84"/>
      <c r="T46" s="87"/>
      <c r="U46" s="83"/>
      <c r="V46" s="84"/>
      <c r="W46" s="83"/>
      <c r="X46" s="87"/>
      <c r="Y46" s="84"/>
      <c r="Z46" s="84"/>
      <c r="AA46" s="87"/>
      <c r="AB46" s="83"/>
      <c r="AC46" s="88"/>
      <c r="AD46" s="84"/>
    </row>
    <row r="47" spans="1:30" ht="65.25" thickBot="1">
      <c r="A47" s="83"/>
      <c r="B47" s="22" t="s">
        <v>6</v>
      </c>
      <c r="C47" s="84">
        <f aca="true" t="shared" si="6" ref="C47:AD47">SUM(C44:C46)</f>
        <v>20</v>
      </c>
      <c r="D47" s="84">
        <f t="shared" si="6"/>
        <v>0</v>
      </c>
      <c r="E47" s="84">
        <f t="shared" si="6"/>
        <v>0</v>
      </c>
      <c r="F47" s="84">
        <f t="shared" si="6"/>
        <v>0</v>
      </c>
      <c r="G47" s="84">
        <f t="shared" si="6"/>
        <v>23</v>
      </c>
      <c r="H47" s="84">
        <f t="shared" si="6"/>
        <v>0</v>
      </c>
      <c r="I47" s="84">
        <f t="shared" si="6"/>
        <v>0</v>
      </c>
      <c r="J47" s="84">
        <f t="shared" si="6"/>
        <v>0</v>
      </c>
      <c r="K47" s="84">
        <f t="shared" si="6"/>
        <v>0</v>
      </c>
      <c r="L47" s="84">
        <f t="shared" si="6"/>
        <v>10</v>
      </c>
      <c r="M47" s="84">
        <f t="shared" si="6"/>
        <v>0</v>
      </c>
      <c r="N47" s="84">
        <f t="shared" si="6"/>
        <v>0</v>
      </c>
      <c r="O47" s="84">
        <f t="shared" si="6"/>
        <v>12</v>
      </c>
      <c r="P47" s="84">
        <f t="shared" si="6"/>
        <v>2</v>
      </c>
      <c r="Q47" s="84">
        <f t="shared" si="6"/>
        <v>0</v>
      </c>
      <c r="R47" s="84">
        <f t="shared" si="6"/>
        <v>0</v>
      </c>
      <c r="S47" s="84">
        <f t="shared" si="6"/>
        <v>203</v>
      </c>
      <c r="T47" s="84">
        <f t="shared" si="6"/>
        <v>0</v>
      </c>
      <c r="U47" s="84">
        <f t="shared" si="6"/>
        <v>0</v>
      </c>
      <c r="V47" s="84">
        <f t="shared" si="6"/>
        <v>0</v>
      </c>
      <c r="W47" s="84">
        <f t="shared" si="6"/>
        <v>0</v>
      </c>
      <c r="X47" s="84">
        <f t="shared" si="6"/>
        <v>0</v>
      </c>
      <c r="Y47" s="84">
        <f t="shared" si="6"/>
        <v>0</v>
      </c>
      <c r="Z47" s="84">
        <f t="shared" si="6"/>
        <v>0</v>
      </c>
      <c r="AA47" s="84">
        <f t="shared" si="6"/>
        <v>0</v>
      </c>
      <c r="AB47" s="84">
        <f t="shared" si="6"/>
        <v>0</v>
      </c>
      <c r="AC47" s="88">
        <f t="shared" si="6"/>
        <v>1.1</v>
      </c>
      <c r="AD47" s="84">
        <f t="shared" si="6"/>
        <v>0</v>
      </c>
    </row>
    <row r="48" spans="1:30" ht="65.25" thickBot="1">
      <c r="A48" s="155" t="s">
        <v>53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7"/>
    </row>
    <row r="49" spans="1:30" ht="65.25" thickBot="1">
      <c r="A49" s="83" t="s">
        <v>32</v>
      </c>
      <c r="B49" s="25" t="s">
        <v>182</v>
      </c>
      <c r="C49" s="84"/>
      <c r="D49" s="86"/>
      <c r="E49" s="86"/>
      <c r="F49" s="86"/>
      <c r="G49" s="86"/>
      <c r="H49" s="86"/>
      <c r="I49" s="86"/>
      <c r="J49" s="86"/>
      <c r="K49" s="86">
        <v>100</v>
      </c>
      <c r="L49" s="86"/>
      <c r="M49" s="86"/>
      <c r="N49" s="87"/>
      <c r="O49" s="84"/>
      <c r="P49" s="87"/>
      <c r="Q49" s="84"/>
      <c r="R49" s="87"/>
      <c r="S49" s="84"/>
      <c r="T49" s="87"/>
      <c r="U49" s="84"/>
      <c r="V49" s="84"/>
      <c r="W49" s="87"/>
      <c r="X49" s="84"/>
      <c r="Y49" s="84"/>
      <c r="Z49" s="87"/>
      <c r="AA49" s="84"/>
      <c r="AB49" s="87"/>
      <c r="AC49" s="88"/>
      <c r="AD49" s="83"/>
    </row>
    <row r="50" spans="1:30" ht="65.25" thickBot="1">
      <c r="A50" s="83"/>
      <c r="B50" s="22" t="s">
        <v>29</v>
      </c>
      <c r="C50" s="86">
        <f>SUM(C49)</f>
        <v>0</v>
      </c>
      <c r="D50" s="86">
        <f>SUM(D49)</f>
        <v>0</v>
      </c>
      <c r="E50" s="86">
        <f aca="true" t="shared" si="7" ref="E50:AC50">SUM(E49)</f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0</v>
      </c>
      <c r="J50" s="86">
        <f t="shared" si="7"/>
        <v>0</v>
      </c>
      <c r="K50" s="86">
        <f t="shared" si="7"/>
        <v>100</v>
      </c>
      <c r="L50" s="86">
        <f t="shared" si="7"/>
        <v>0</v>
      </c>
      <c r="M50" s="86">
        <f t="shared" si="7"/>
        <v>0</v>
      </c>
      <c r="N50" s="86">
        <f t="shared" si="7"/>
        <v>0</v>
      </c>
      <c r="O50" s="86">
        <f t="shared" si="7"/>
        <v>0</v>
      </c>
      <c r="P50" s="86">
        <f t="shared" si="7"/>
        <v>0</v>
      </c>
      <c r="Q50" s="86">
        <f t="shared" si="7"/>
        <v>0</v>
      </c>
      <c r="R50" s="86">
        <f t="shared" si="7"/>
        <v>0</v>
      </c>
      <c r="S50" s="86">
        <f t="shared" si="7"/>
        <v>0</v>
      </c>
      <c r="T50" s="86">
        <f t="shared" si="7"/>
        <v>0</v>
      </c>
      <c r="U50" s="86">
        <f t="shared" si="7"/>
        <v>0</v>
      </c>
      <c r="V50" s="86">
        <f t="shared" si="7"/>
        <v>0</v>
      </c>
      <c r="W50" s="86">
        <f t="shared" si="7"/>
        <v>0</v>
      </c>
      <c r="X50" s="86">
        <f t="shared" si="7"/>
        <v>0</v>
      </c>
      <c r="Y50" s="86">
        <f t="shared" si="7"/>
        <v>0</v>
      </c>
      <c r="Z50" s="86">
        <f t="shared" si="7"/>
        <v>0</v>
      </c>
      <c r="AA50" s="86">
        <f t="shared" si="7"/>
        <v>0</v>
      </c>
      <c r="AB50" s="86">
        <f t="shared" si="7"/>
        <v>0</v>
      </c>
      <c r="AC50" s="87">
        <f t="shared" si="7"/>
        <v>0</v>
      </c>
      <c r="AD50" s="83">
        <f>SUM(AD49)</f>
        <v>0</v>
      </c>
    </row>
    <row r="51" spans="1:30" ht="65.25" thickBot="1">
      <c r="A51" s="155" t="s">
        <v>31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7"/>
    </row>
    <row r="52" spans="1:30" ht="129.75" thickBot="1">
      <c r="A52" s="84">
        <v>12</v>
      </c>
      <c r="B52" s="22" t="s">
        <v>227</v>
      </c>
      <c r="C52" s="84"/>
      <c r="D52" s="86"/>
      <c r="E52" s="86"/>
      <c r="F52" s="86"/>
      <c r="G52" s="86"/>
      <c r="H52" s="86"/>
      <c r="I52" s="86"/>
      <c r="J52" s="86">
        <v>31</v>
      </c>
      <c r="K52" s="86"/>
      <c r="L52" s="86"/>
      <c r="M52" s="86"/>
      <c r="N52" s="87"/>
      <c r="O52" s="83">
        <v>1</v>
      </c>
      <c r="P52" s="87"/>
      <c r="Q52" s="83">
        <v>3</v>
      </c>
      <c r="R52" s="87"/>
      <c r="S52" s="83"/>
      <c r="T52" s="87"/>
      <c r="U52" s="84"/>
      <c r="V52" s="83"/>
      <c r="W52" s="87"/>
      <c r="X52" s="84"/>
      <c r="Y52" s="83"/>
      <c r="Z52" s="87"/>
      <c r="AA52" s="83"/>
      <c r="AB52" s="84"/>
      <c r="AC52" s="88"/>
      <c r="AD52" s="80"/>
    </row>
    <row r="53" spans="1:30" ht="194.25" thickBot="1">
      <c r="A53" s="83">
        <v>5</v>
      </c>
      <c r="B53" s="22" t="s">
        <v>175</v>
      </c>
      <c r="C53" s="84"/>
      <c r="D53" s="86"/>
      <c r="E53" s="86"/>
      <c r="F53" s="86"/>
      <c r="G53" s="86"/>
      <c r="H53" s="86"/>
      <c r="I53" s="86">
        <v>12</v>
      </c>
      <c r="J53" s="86">
        <v>58.2</v>
      </c>
      <c r="K53" s="86"/>
      <c r="L53" s="86"/>
      <c r="M53" s="86"/>
      <c r="N53" s="87"/>
      <c r="O53" s="83">
        <v>1.5</v>
      </c>
      <c r="P53" s="87"/>
      <c r="Q53" s="83">
        <v>2</v>
      </c>
      <c r="R53" s="87"/>
      <c r="S53" s="83"/>
      <c r="T53" s="87"/>
      <c r="U53" s="83"/>
      <c r="V53" s="83">
        <v>10</v>
      </c>
      <c r="W53" s="87"/>
      <c r="X53" s="83"/>
      <c r="Y53" s="84">
        <v>7</v>
      </c>
      <c r="Z53" s="87"/>
      <c r="AA53" s="83"/>
      <c r="AB53" s="83"/>
      <c r="AC53" s="90"/>
      <c r="AD53" s="83"/>
    </row>
    <row r="54" spans="1:30" ht="129.75" thickBot="1">
      <c r="A54" s="83">
        <v>6</v>
      </c>
      <c r="B54" s="22" t="s">
        <v>74</v>
      </c>
      <c r="C54" s="84">
        <v>12</v>
      </c>
      <c r="D54" s="86"/>
      <c r="E54" s="86"/>
      <c r="F54" s="86"/>
      <c r="G54" s="86"/>
      <c r="H54" s="86"/>
      <c r="I54" s="86"/>
      <c r="J54" s="86">
        <v>5</v>
      </c>
      <c r="K54" s="86"/>
      <c r="L54" s="86"/>
      <c r="M54" s="86"/>
      <c r="N54" s="83"/>
      <c r="O54" s="87"/>
      <c r="P54" s="83"/>
      <c r="Q54" s="87">
        <v>4</v>
      </c>
      <c r="R54" s="83">
        <v>4</v>
      </c>
      <c r="S54" s="87">
        <v>12</v>
      </c>
      <c r="T54" s="90"/>
      <c r="U54" s="88"/>
      <c r="V54" s="84">
        <v>41</v>
      </c>
      <c r="W54" s="87"/>
      <c r="X54" s="84"/>
      <c r="Y54" s="87"/>
      <c r="Z54" s="83"/>
      <c r="AA54" s="83"/>
      <c r="AB54" s="87"/>
      <c r="AC54" s="90"/>
      <c r="AD54" s="83"/>
    </row>
    <row r="55" spans="1:30" ht="65.25" thickBot="1">
      <c r="A55" s="83">
        <v>79</v>
      </c>
      <c r="B55" s="22" t="s">
        <v>262</v>
      </c>
      <c r="C55" s="84"/>
      <c r="D55" s="86"/>
      <c r="E55" s="86"/>
      <c r="F55" s="86"/>
      <c r="G55" s="86"/>
      <c r="H55" s="86"/>
      <c r="I55" s="86">
        <v>114</v>
      </c>
      <c r="J55" s="86"/>
      <c r="K55" s="86"/>
      <c r="L55" s="86"/>
      <c r="M55" s="86"/>
      <c r="N55" s="87"/>
      <c r="O55" s="83"/>
      <c r="P55" s="87">
        <v>5</v>
      </c>
      <c r="Q55" s="83"/>
      <c r="R55" s="87"/>
      <c r="S55" s="83"/>
      <c r="T55" s="87"/>
      <c r="U55" s="84"/>
      <c r="V55" s="83"/>
      <c r="W55" s="87"/>
      <c r="X55" s="84"/>
      <c r="Y55" s="83"/>
      <c r="Z55" s="87"/>
      <c r="AA55" s="83"/>
      <c r="AB55" s="87"/>
      <c r="AC55" s="88"/>
      <c r="AD55" s="80"/>
    </row>
    <row r="56" spans="1:30" ht="194.25" thickBot="1">
      <c r="A56" s="83">
        <v>20</v>
      </c>
      <c r="B56" s="22" t="s">
        <v>232</v>
      </c>
      <c r="C56" s="84"/>
      <c r="D56" s="85"/>
      <c r="E56" s="85"/>
      <c r="F56" s="85">
        <v>6.8</v>
      </c>
      <c r="G56" s="85"/>
      <c r="H56" s="86"/>
      <c r="I56" s="86"/>
      <c r="J56" s="86"/>
      <c r="K56" s="86"/>
      <c r="L56" s="86"/>
      <c r="M56" s="86"/>
      <c r="N56" s="87"/>
      <c r="O56" s="84">
        <v>6</v>
      </c>
      <c r="P56" s="87"/>
      <c r="Q56" s="84"/>
      <c r="R56" s="87"/>
      <c r="S56" s="84"/>
      <c r="T56" s="87"/>
      <c r="U56" s="83"/>
      <c r="V56" s="84"/>
      <c r="W56" s="87"/>
      <c r="X56" s="83"/>
      <c r="Y56" s="84"/>
      <c r="Z56" s="84"/>
      <c r="AA56" s="87"/>
      <c r="AB56" s="83"/>
      <c r="AC56" s="88"/>
      <c r="AD56" s="83"/>
    </row>
    <row r="57" spans="1:30" ht="129.75" thickBot="1">
      <c r="A57" s="83" t="s">
        <v>32</v>
      </c>
      <c r="B57" s="22" t="s">
        <v>56</v>
      </c>
      <c r="C57" s="84">
        <v>20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3"/>
      <c r="V57" s="86"/>
      <c r="W57" s="87"/>
      <c r="X57" s="83"/>
      <c r="Y57" s="86"/>
      <c r="Z57" s="86"/>
      <c r="AA57" s="86"/>
      <c r="AB57" s="86"/>
      <c r="AC57" s="87"/>
      <c r="AD57" s="83"/>
    </row>
    <row r="58" spans="1:30" ht="129.75" thickBot="1">
      <c r="A58" s="83" t="s">
        <v>32</v>
      </c>
      <c r="B58" s="22" t="s">
        <v>58</v>
      </c>
      <c r="C58" s="84"/>
      <c r="D58" s="86">
        <v>40</v>
      </c>
      <c r="E58" s="85"/>
      <c r="F58" s="85"/>
      <c r="G58" s="85"/>
      <c r="H58" s="86"/>
      <c r="I58" s="86"/>
      <c r="J58" s="86"/>
      <c r="K58" s="86"/>
      <c r="L58" s="86"/>
      <c r="M58" s="86"/>
      <c r="N58" s="87"/>
      <c r="O58" s="84"/>
      <c r="P58" s="87"/>
      <c r="Q58" s="84"/>
      <c r="R58" s="87"/>
      <c r="S58" s="84"/>
      <c r="T58" s="87"/>
      <c r="U58" s="83"/>
      <c r="V58" s="84"/>
      <c r="W58" s="87"/>
      <c r="X58" s="83"/>
      <c r="Y58" s="84"/>
      <c r="Z58" s="84"/>
      <c r="AA58" s="87"/>
      <c r="AB58" s="83"/>
      <c r="AC58" s="88"/>
      <c r="AD58" s="84"/>
    </row>
    <row r="59" spans="1:30" ht="65.25" thickBot="1">
      <c r="A59" s="84"/>
      <c r="B59" s="25" t="s">
        <v>6</v>
      </c>
      <c r="C59" s="84">
        <f aca="true" t="shared" si="8" ref="C59:AD59">SUM(C52:C58)</f>
        <v>32</v>
      </c>
      <c r="D59" s="84">
        <f t="shared" si="8"/>
        <v>40</v>
      </c>
      <c r="E59" s="84">
        <f t="shared" si="8"/>
        <v>0</v>
      </c>
      <c r="F59" s="84">
        <f t="shared" si="8"/>
        <v>6.8</v>
      </c>
      <c r="G59" s="84">
        <f t="shared" si="8"/>
        <v>0</v>
      </c>
      <c r="H59" s="84">
        <f t="shared" si="8"/>
        <v>0</v>
      </c>
      <c r="I59" s="84">
        <f t="shared" si="8"/>
        <v>126</v>
      </c>
      <c r="J59" s="84">
        <f t="shared" si="8"/>
        <v>94.2</v>
      </c>
      <c r="K59" s="84">
        <f t="shared" si="8"/>
        <v>0</v>
      </c>
      <c r="L59" s="84">
        <f t="shared" si="8"/>
        <v>0</v>
      </c>
      <c r="M59" s="84">
        <f t="shared" si="8"/>
        <v>0</v>
      </c>
      <c r="N59" s="84">
        <f t="shared" si="8"/>
        <v>0</v>
      </c>
      <c r="O59" s="84">
        <f t="shared" si="8"/>
        <v>8.5</v>
      </c>
      <c r="P59" s="84">
        <f t="shared" si="8"/>
        <v>5</v>
      </c>
      <c r="Q59" s="84">
        <f t="shared" si="8"/>
        <v>9</v>
      </c>
      <c r="R59" s="84">
        <f t="shared" si="8"/>
        <v>4</v>
      </c>
      <c r="S59" s="84">
        <f t="shared" si="8"/>
        <v>12</v>
      </c>
      <c r="T59" s="84">
        <f t="shared" si="8"/>
        <v>0</v>
      </c>
      <c r="U59" s="84">
        <f t="shared" si="8"/>
        <v>0</v>
      </c>
      <c r="V59" s="84">
        <f t="shared" si="8"/>
        <v>51</v>
      </c>
      <c r="W59" s="84">
        <f t="shared" si="8"/>
        <v>0</v>
      </c>
      <c r="X59" s="84">
        <f t="shared" si="8"/>
        <v>0</v>
      </c>
      <c r="Y59" s="84">
        <f t="shared" si="8"/>
        <v>7</v>
      </c>
      <c r="Z59" s="84">
        <f t="shared" si="8"/>
        <v>0</v>
      </c>
      <c r="AA59" s="84">
        <f t="shared" si="8"/>
        <v>0</v>
      </c>
      <c r="AB59" s="84">
        <f t="shared" si="8"/>
        <v>0</v>
      </c>
      <c r="AC59" s="88">
        <f t="shared" si="8"/>
        <v>0</v>
      </c>
      <c r="AD59" s="84">
        <f t="shared" si="8"/>
        <v>0</v>
      </c>
    </row>
    <row r="60" spans="1:30" ht="65.25" thickBot="1">
      <c r="A60" s="150" t="s">
        <v>145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2"/>
    </row>
    <row r="61" spans="1:30" ht="129.75" thickBot="1">
      <c r="A61" s="92">
        <v>21.1</v>
      </c>
      <c r="B61" s="27" t="s">
        <v>172</v>
      </c>
      <c r="C61" s="83"/>
      <c r="D61" s="86"/>
      <c r="E61" s="83"/>
      <c r="F61" s="83"/>
      <c r="G61" s="83"/>
      <c r="H61" s="86"/>
      <c r="I61" s="86"/>
      <c r="J61" s="86"/>
      <c r="K61" s="86"/>
      <c r="L61" s="86"/>
      <c r="M61" s="86"/>
      <c r="N61" s="87"/>
      <c r="O61" s="84"/>
      <c r="P61" s="87"/>
      <c r="Q61" s="84"/>
      <c r="R61" s="87"/>
      <c r="S61" s="84">
        <v>155</v>
      </c>
      <c r="T61" s="87"/>
      <c r="U61" s="84"/>
      <c r="V61" s="84"/>
      <c r="W61" s="87"/>
      <c r="X61" s="84"/>
      <c r="Y61" s="84"/>
      <c r="Z61" s="87"/>
      <c r="AA61" s="84"/>
      <c r="AB61" s="84"/>
      <c r="AC61" s="88"/>
      <c r="AD61" s="83"/>
    </row>
    <row r="62" spans="1:30" ht="65.25" thickBot="1">
      <c r="A62" s="83">
        <v>36</v>
      </c>
      <c r="B62" s="22" t="s">
        <v>57</v>
      </c>
      <c r="C62" s="84"/>
      <c r="D62" s="86"/>
      <c r="E62" s="86">
        <v>37</v>
      </c>
      <c r="F62" s="86"/>
      <c r="G62" s="86"/>
      <c r="H62" s="86"/>
      <c r="I62" s="86"/>
      <c r="J62" s="86"/>
      <c r="K62" s="86"/>
      <c r="L62" s="86"/>
      <c r="M62" s="86"/>
      <c r="N62" s="86"/>
      <c r="O62" s="86">
        <v>9</v>
      </c>
      <c r="P62" s="86">
        <v>2.5</v>
      </c>
      <c r="Q62" s="86">
        <v>0.9</v>
      </c>
      <c r="R62" s="86">
        <v>9</v>
      </c>
      <c r="S62" s="86"/>
      <c r="T62" s="86"/>
      <c r="U62" s="86"/>
      <c r="V62" s="86"/>
      <c r="W62" s="86"/>
      <c r="X62" s="86"/>
      <c r="Y62" s="86">
        <v>23</v>
      </c>
      <c r="Z62" s="86"/>
      <c r="AA62" s="86"/>
      <c r="AB62" s="86"/>
      <c r="AC62" s="87"/>
      <c r="AD62" s="80"/>
    </row>
    <row r="63" spans="1:30" ht="65.25" thickBot="1">
      <c r="A63" s="84"/>
      <c r="B63" s="25" t="s">
        <v>29</v>
      </c>
      <c r="C63" s="84">
        <f aca="true" t="shared" si="9" ref="C63:AD63">C61+C62</f>
        <v>0</v>
      </c>
      <c r="D63" s="84">
        <f t="shared" si="9"/>
        <v>0</v>
      </c>
      <c r="E63" s="84">
        <f t="shared" si="9"/>
        <v>37</v>
      </c>
      <c r="F63" s="84">
        <f t="shared" si="9"/>
        <v>0</v>
      </c>
      <c r="G63" s="84">
        <f t="shared" si="9"/>
        <v>0</v>
      </c>
      <c r="H63" s="84">
        <f t="shared" si="9"/>
        <v>0</v>
      </c>
      <c r="I63" s="84">
        <f t="shared" si="9"/>
        <v>0</v>
      </c>
      <c r="J63" s="84">
        <f t="shared" si="9"/>
        <v>0</v>
      </c>
      <c r="K63" s="84">
        <f t="shared" si="9"/>
        <v>0</v>
      </c>
      <c r="L63" s="84">
        <f t="shared" si="9"/>
        <v>0</v>
      </c>
      <c r="M63" s="84">
        <f t="shared" si="9"/>
        <v>0</v>
      </c>
      <c r="N63" s="84">
        <f t="shared" si="9"/>
        <v>0</v>
      </c>
      <c r="O63" s="84">
        <f t="shared" si="9"/>
        <v>9</v>
      </c>
      <c r="P63" s="84">
        <f t="shared" si="9"/>
        <v>2.5</v>
      </c>
      <c r="Q63" s="84">
        <f t="shared" si="9"/>
        <v>0.9</v>
      </c>
      <c r="R63" s="84">
        <f t="shared" si="9"/>
        <v>9</v>
      </c>
      <c r="S63" s="84">
        <f t="shared" si="9"/>
        <v>155</v>
      </c>
      <c r="T63" s="84">
        <f t="shared" si="9"/>
        <v>0</v>
      </c>
      <c r="U63" s="84">
        <f t="shared" si="9"/>
        <v>0</v>
      </c>
      <c r="V63" s="84">
        <f t="shared" si="9"/>
        <v>0</v>
      </c>
      <c r="W63" s="84">
        <f t="shared" si="9"/>
        <v>0</v>
      </c>
      <c r="X63" s="84">
        <f t="shared" si="9"/>
        <v>0</v>
      </c>
      <c r="Y63" s="84">
        <f t="shared" si="9"/>
        <v>23</v>
      </c>
      <c r="Z63" s="84">
        <f t="shared" si="9"/>
        <v>0</v>
      </c>
      <c r="AA63" s="84">
        <f t="shared" si="9"/>
        <v>0</v>
      </c>
      <c r="AB63" s="84">
        <f t="shared" si="9"/>
        <v>0</v>
      </c>
      <c r="AC63" s="88">
        <f t="shared" si="9"/>
        <v>0</v>
      </c>
      <c r="AD63" s="84">
        <f t="shared" si="9"/>
        <v>0</v>
      </c>
    </row>
    <row r="64" spans="1:30" ht="65.25" thickBot="1">
      <c r="A64" s="155" t="s">
        <v>144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7"/>
    </row>
    <row r="65" spans="1:30" ht="129.75" thickBot="1">
      <c r="A65" s="84">
        <v>37</v>
      </c>
      <c r="B65" s="25" t="s">
        <v>35</v>
      </c>
      <c r="C65" s="84"/>
      <c r="D65" s="85"/>
      <c r="E65" s="85"/>
      <c r="F65" s="85"/>
      <c r="G65" s="85"/>
      <c r="H65" s="86"/>
      <c r="I65" s="86"/>
      <c r="J65" s="86"/>
      <c r="K65" s="86"/>
      <c r="L65" s="86"/>
      <c r="M65" s="86"/>
      <c r="N65" s="86"/>
      <c r="O65" s="86"/>
      <c r="P65" s="86">
        <v>3</v>
      </c>
      <c r="Q65" s="86"/>
      <c r="R65" s="86">
        <v>80</v>
      </c>
      <c r="S65" s="86">
        <v>73</v>
      </c>
      <c r="T65" s="87"/>
      <c r="U65" s="84"/>
      <c r="V65" s="87"/>
      <c r="W65" s="84"/>
      <c r="X65" s="86"/>
      <c r="Y65" s="86"/>
      <c r="Z65" s="86"/>
      <c r="AA65" s="86"/>
      <c r="AB65" s="86"/>
      <c r="AC65" s="87"/>
      <c r="AD65" s="83"/>
    </row>
    <row r="66" spans="1:30" ht="194.25" thickBot="1">
      <c r="A66" s="84">
        <v>38</v>
      </c>
      <c r="B66" s="22" t="s">
        <v>269</v>
      </c>
      <c r="C66" s="84"/>
      <c r="D66" s="86"/>
      <c r="E66" s="86"/>
      <c r="F66" s="86"/>
      <c r="G66" s="86"/>
      <c r="H66" s="86"/>
      <c r="I66" s="86"/>
      <c r="J66" s="86">
        <v>35</v>
      </c>
      <c r="K66" s="86"/>
      <c r="L66" s="86"/>
      <c r="M66" s="86"/>
      <c r="N66" s="87"/>
      <c r="O66" s="83"/>
      <c r="P66" s="87"/>
      <c r="Q66" s="83"/>
      <c r="R66" s="87"/>
      <c r="S66" s="83"/>
      <c r="T66" s="87"/>
      <c r="U66" s="84"/>
      <c r="V66" s="83"/>
      <c r="W66" s="87"/>
      <c r="X66" s="84"/>
      <c r="Y66" s="83"/>
      <c r="Z66" s="87"/>
      <c r="AA66" s="83"/>
      <c r="AB66" s="84"/>
      <c r="AC66" s="88"/>
      <c r="AD66" s="83"/>
    </row>
    <row r="67" spans="1:30" ht="65.25" thickBot="1">
      <c r="A67" s="84">
        <v>13</v>
      </c>
      <c r="B67" s="23" t="s">
        <v>7</v>
      </c>
      <c r="C67" s="84"/>
      <c r="D67" s="85"/>
      <c r="E67" s="85"/>
      <c r="F67" s="85"/>
      <c r="G67" s="85"/>
      <c r="H67" s="86"/>
      <c r="I67" s="86"/>
      <c r="J67" s="86"/>
      <c r="K67" s="86"/>
      <c r="L67" s="86"/>
      <c r="M67" s="86"/>
      <c r="N67" s="87"/>
      <c r="O67" s="84">
        <v>10</v>
      </c>
      <c r="P67" s="87"/>
      <c r="Q67" s="84"/>
      <c r="R67" s="87"/>
      <c r="S67" s="84"/>
      <c r="T67" s="84"/>
      <c r="U67" s="87"/>
      <c r="V67" s="84"/>
      <c r="W67" s="87"/>
      <c r="X67" s="84"/>
      <c r="Y67" s="84"/>
      <c r="Z67" s="87"/>
      <c r="AA67" s="84">
        <v>0.48</v>
      </c>
      <c r="AB67" s="84"/>
      <c r="AC67" s="90"/>
      <c r="AD67" s="83"/>
    </row>
    <row r="68" spans="1:30" ht="129.75" thickBot="1">
      <c r="A68" s="83">
        <v>69</v>
      </c>
      <c r="B68" s="22" t="s">
        <v>106</v>
      </c>
      <c r="C68" s="84"/>
      <c r="D68" s="86"/>
      <c r="E68" s="86"/>
      <c r="F68" s="86"/>
      <c r="G68" s="86"/>
      <c r="H68" s="86"/>
      <c r="I68" s="86"/>
      <c r="J68" s="86"/>
      <c r="K68" s="86"/>
      <c r="L68" s="86">
        <v>85</v>
      </c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7"/>
      <c r="AD68" s="84"/>
    </row>
    <row r="69" spans="1:30" ht="129.75" thickBot="1">
      <c r="A69" s="83" t="s">
        <v>32</v>
      </c>
      <c r="B69" s="22" t="s">
        <v>56</v>
      </c>
      <c r="C69" s="86">
        <v>15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3"/>
      <c r="V69" s="86"/>
      <c r="W69" s="87"/>
      <c r="X69" s="83"/>
      <c r="Y69" s="86"/>
      <c r="Z69" s="86"/>
      <c r="AA69" s="86"/>
      <c r="AB69" s="86"/>
      <c r="AC69" s="87"/>
      <c r="AD69" s="83"/>
    </row>
    <row r="70" spans="1:30" ht="65.25" thickBot="1">
      <c r="A70" s="80"/>
      <c r="B70" s="22" t="s">
        <v>6</v>
      </c>
      <c r="C70" s="84">
        <f aca="true" t="shared" si="10" ref="C70:AD70">SUM(C65:C69)</f>
        <v>15</v>
      </c>
      <c r="D70" s="84">
        <f t="shared" si="10"/>
        <v>0</v>
      </c>
      <c r="E70" s="84">
        <f t="shared" si="10"/>
        <v>0</v>
      </c>
      <c r="F70" s="84">
        <f t="shared" si="10"/>
        <v>0</v>
      </c>
      <c r="G70" s="84">
        <f t="shared" si="10"/>
        <v>0</v>
      </c>
      <c r="H70" s="84">
        <f t="shared" si="10"/>
        <v>0</v>
      </c>
      <c r="I70" s="84">
        <f t="shared" si="10"/>
        <v>0</v>
      </c>
      <c r="J70" s="84">
        <f t="shared" si="10"/>
        <v>35</v>
      </c>
      <c r="K70" s="84">
        <f t="shared" si="10"/>
        <v>0</v>
      </c>
      <c r="L70" s="84">
        <f t="shared" si="10"/>
        <v>85</v>
      </c>
      <c r="M70" s="84">
        <f t="shared" si="10"/>
        <v>0</v>
      </c>
      <c r="N70" s="84">
        <f t="shared" si="10"/>
        <v>0</v>
      </c>
      <c r="O70" s="84">
        <f t="shared" si="10"/>
        <v>10</v>
      </c>
      <c r="P70" s="84">
        <f t="shared" si="10"/>
        <v>3</v>
      </c>
      <c r="Q70" s="84">
        <f t="shared" si="10"/>
        <v>0</v>
      </c>
      <c r="R70" s="84">
        <f t="shared" si="10"/>
        <v>80</v>
      </c>
      <c r="S70" s="84">
        <f t="shared" si="10"/>
        <v>73</v>
      </c>
      <c r="T70" s="84">
        <f t="shared" si="10"/>
        <v>0</v>
      </c>
      <c r="U70" s="84">
        <f t="shared" si="10"/>
        <v>0</v>
      </c>
      <c r="V70" s="84">
        <f t="shared" si="10"/>
        <v>0</v>
      </c>
      <c r="W70" s="84">
        <f t="shared" si="10"/>
        <v>0</v>
      </c>
      <c r="X70" s="84">
        <f t="shared" si="10"/>
        <v>0</v>
      </c>
      <c r="Y70" s="84">
        <f t="shared" si="10"/>
        <v>0</v>
      </c>
      <c r="Z70" s="84">
        <f t="shared" si="10"/>
        <v>0</v>
      </c>
      <c r="AA70" s="84">
        <f t="shared" si="10"/>
        <v>0.48</v>
      </c>
      <c r="AB70" s="84">
        <f t="shared" si="10"/>
        <v>0</v>
      </c>
      <c r="AC70" s="88">
        <f t="shared" si="10"/>
        <v>0</v>
      </c>
      <c r="AD70" s="84">
        <f t="shared" si="10"/>
        <v>0</v>
      </c>
    </row>
    <row r="71" spans="1:30" ht="194.25" thickBot="1">
      <c r="A71" s="145"/>
      <c r="B71" s="22" t="s">
        <v>148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8"/>
      <c r="AD71" s="84"/>
    </row>
    <row r="72" spans="1:30" ht="65.25" thickBot="1">
      <c r="A72" s="83"/>
      <c r="B72" s="93" t="s">
        <v>10</v>
      </c>
      <c r="C72" s="84">
        <f aca="true" t="shared" si="11" ref="C72:AD72">C47+C50+C59+C63+C70</f>
        <v>67</v>
      </c>
      <c r="D72" s="84">
        <f t="shared" si="11"/>
        <v>40</v>
      </c>
      <c r="E72" s="84">
        <f t="shared" si="11"/>
        <v>37</v>
      </c>
      <c r="F72" s="84">
        <f t="shared" si="11"/>
        <v>6.8</v>
      </c>
      <c r="G72" s="84">
        <f t="shared" si="11"/>
        <v>23</v>
      </c>
      <c r="H72" s="84">
        <f t="shared" si="11"/>
        <v>0</v>
      </c>
      <c r="I72" s="84">
        <f t="shared" si="11"/>
        <v>126</v>
      </c>
      <c r="J72" s="84">
        <f t="shared" si="11"/>
        <v>129.2</v>
      </c>
      <c r="K72" s="84">
        <f t="shared" si="11"/>
        <v>100</v>
      </c>
      <c r="L72" s="84">
        <f t="shared" si="11"/>
        <v>95</v>
      </c>
      <c r="M72" s="84">
        <f t="shared" si="11"/>
        <v>0</v>
      </c>
      <c r="N72" s="84">
        <f t="shared" si="11"/>
        <v>0</v>
      </c>
      <c r="O72" s="84">
        <f t="shared" si="11"/>
        <v>39.5</v>
      </c>
      <c r="P72" s="84">
        <f t="shared" si="11"/>
        <v>12.5</v>
      </c>
      <c r="Q72" s="84">
        <f t="shared" si="11"/>
        <v>9.9</v>
      </c>
      <c r="R72" s="84">
        <f t="shared" si="11"/>
        <v>93</v>
      </c>
      <c r="S72" s="84">
        <f t="shared" si="11"/>
        <v>443</v>
      </c>
      <c r="T72" s="84">
        <f t="shared" si="11"/>
        <v>0</v>
      </c>
      <c r="U72" s="84">
        <f t="shared" si="11"/>
        <v>0</v>
      </c>
      <c r="V72" s="84">
        <f t="shared" si="11"/>
        <v>51</v>
      </c>
      <c r="W72" s="84">
        <f t="shared" si="11"/>
        <v>0</v>
      </c>
      <c r="X72" s="84">
        <f t="shared" si="11"/>
        <v>0</v>
      </c>
      <c r="Y72" s="84">
        <f t="shared" si="11"/>
        <v>30</v>
      </c>
      <c r="Z72" s="84">
        <f t="shared" si="11"/>
        <v>0</v>
      </c>
      <c r="AA72" s="84">
        <f t="shared" si="11"/>
        <v>0.48</v>
      </c>
      <c r="AB72" s="84">
        <f t="shared" si="11"/>
        <v>0</v>
      </c>
      <c r="AC72" s="88">
        <f t="shared" si="11"/>
        <v>1.1</v>
      </c>
      <c r="AD72" s="84">
        <f t="shared" si="11"/>
        <v>0</v>
      </c>
    </row>
    <row r="73" spans="1:30" ht="65.25" thickBot="1">
      <c r="A73" s="150" t="s">
        <v>62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2"/>
    </row>
    <row r="74" spans="1:30" ht="65.25" thickBot="1">
      <c r="A74" s="150" t="s">
        <v>13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2"/>
    </row>
    <row r="75" spans="1:30" ht="45.75" customHeight="1">
      <c r="A75" s="166" t="s">
        <v>30</v>
      </c>
      <c r="B75" s="168" t="s">
        <v>23</v>
      </c>
      <c r="C75" s="153" t="s">
        <v>116</v>
      </c>
      <c r="D75" s="153" t="s">
        <v>117</v>
      </c>
      <c r="E75" s="153" t="s">
        <v>118</v>
      </c>
      <c r="F75" s="153" t="s">
        <v>119</v>
      </c>
      <c r="G75" s="153" t="s">
        <v>120</v>
      </c>
      <c r="H75" s="153" t="s">
        <v>121</v>
      </c>
      <c r="I75" s="153" t="s">
        <v>110</v>
      </c>
      <c r="J75" s="153" t="s">
        <v>257</v>
      </c>
      <c r="K75" s="140"/>
      <c r="L75" s="153" t="s">
        <v>142</v>
      </c>
      <c r="M75" s="153" t="s">
        <v>79</v>
      </c>
      <c r="N75" s="153" t="s">
        <v>123</v>
      </c>
      <c r="O75" s="153" t="s">
        <v>80</v>
      </c>
      <c r="P75" s="153" t="s">
        <v>124</v>
      </c>
      <c r="Q75" s="153" t="s">
        <v>81</v>
      </c>
      <c r="R75" s="153" t="s">
        <v>125</v>
      </c>
      <c r="S75" s="153" t="s">
        <v>126</v>
      </c>
      <c r="T75" s="153" t="s">
        <v>127</v>
      </c>
      <c r="U75" s="140"/>
      <c r="V75" s="153" t="s">
        <v>113</v>
      </c>
      <c r="W75" s="153" t="s">
        <v>129</v>
      </c>
      <c r="X75" s="153" t="s">
        <v>84</v>
      </c>
      <c r="Y75" s="153" t="s">
        <v>82</v>
      </c>
      <c r="Z75" s="153" t="s">
        <v>83</v>
      </c>
      <c r="AA75" s="153" t="s">
        <v>85</v>
      </c>
      <c r="AB75" s="140"/>
      <c r="AC75" s="158" t="s">
        <v>78</v>
      </c>
      <c r="AD75" s="153" t="s">
        <v>138</v>
      </c>
    </row>
    <row r="76" spans="1:30" s="82" customFormat="1" ht="409.5" customHeight="1" thickBot="1">
      <c r="A76" s="167"/>
      <c r="B76" s="169"/>
      <c r="C76" s="154"/>
      <c r="D76" s="154"/>
      <c r="E76" s="154"/>
      <c r="F76" s="154"/>
      <c r="G76" s="154"/>
      <c r="H76" s="154"/>
      <c r="I76" s="154"/>
      <c r="J76" s="154"/>
      <c r="K76" s="141" t="s">
        <v>122</v>
      </c>
      <c r="L76" s="154"/>
      <c r="M76" s="154"/>
      <c r="N76" s="154"/>
      <c r="O76" s="154"/>
      <c r="P76" s="154"/>
      <c r="Q76" s="154"/>
      <c r="R76" s="154"/>
      <c r="S76" s="154"/>
      <c r="T76" s="154"/>
      <c r="U76" s="141" t="s">
        <v>128</v>
      </c>
      <c r="V76" s="154"/>
      <c r="W76" s="154"/>
      <c r="X76" s="154"/>
      <c r="Y76" s="154"/>
      <c r="Z76" s="154"/>
      <c r="AA76" s="154"/>
      <c r="AB76" s="141" t="s">
        <v>77</v>
      </c>
      <c r="AC76" s="159"/>
      <c r="AD76" s="154"/>
    </row>
    <row r="77" spans="1:30" ht="65.25" thickBot="1">
      <c r="A77" s="145">
        <v>1</v>
      </c>
      <c r="B77" s="79">
        <v>2</v>
      </c>
      <c r="C77" s="80" t="s">
        <v>54</v>
      </c>
      <c r="D77" s="81">
        <v>4</v>
      </c>
      <c r="E77" s="80">
        <v>5</v>
      </c>
      <c r="F77" s="80">
        <v>6</v>
      </c>
      <c r="G77" s="80">
        <v>7</v>
      </c>
      <c r="H77" s="80">
        <v>8</v>
      </c>
      <c r="I77" s="80" t="s">
        <v>55</v>
      </c>
      <c r="J77" s="81">
        <v>10</v>
      </c>
      <c r="K77" s="80">
        <v>11</v>
      </c>
      <c r="L77" s="80">
        <v>12</v>
      </c>
      <c r="M77" s="80">
        <v>13</v>
      </c>
      <c r="N77" s="80">
        <v>14</v>
      </c>
      <c r="O77" s="80">
        <v>15</v>
      </c>
      <c r="P77" s="143">
        <v>16</v>
      </c>
      <c r="Q77" s="80">
        <v>17</v>
      </c>
      <c r="R77" s="143">
        <v>18</v>
      </c>
      <c r="S77" s="80">
        <v>19</v>
      </c>
      <c r="T77" s="143">
        <v>20</v>
      </c>
      <c r="U77" s="143">
        <v>21</v>
      </c>
      <c r="V77" s="80">
        <v>22</v>
      </c>
      <c r="W77" s="80">
        <v>23</v>
      </c>
      <c r="X77" s="143">
        <v>24</v>
      </c>
      <c r="Y77" s="80">
        <v>25</v>
      </c>
      <c r="Z77" s="80">
        <v>26</v>
      </c>
      <c r="AA77" s="80">
        <v>27</v>
      </c>
      <c r="AB77" s="143">
        <v>28</v>
      </c>
      <c r="AC77" s="142">
        <v>29</v>
      </c>
      <c r="AD77" s="80">
        <v>31</v>
      </c>
    </row>
    <row r="78" spans="1:30" ht="65.25" thickBot="1">
      <c r="A78" s="150" t="s">
        <v>5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2"/>
    </row>
    <row r="79" spans="1:30" ht="129.75" thickBot="1">
      <c r="A79" s="84">
        <v>32</v>
      </c>
      <c r="B79" s="25" t="s">
        <v>218</v>
      </c>
      <c r="C79" s="84"/>
      <c r="D79" s="85"/>
      <c r="E79" s="85"/>
      <c r="F79" s="85"/>
      <c r="G79" s="85">
        <v>15</v>
      </c>
      <c r="H79" s="86"/>
      <c r="I79" s="86"/>
      <c r="J79" s="86"/>
      <c r="K79" s="86"/>
      <c r="L79" s="86"/>
      <c r="M79" s="86"/>
      <c r="N79" s="86"/>
      <c r="O79" s="86">
        <v>4</v>
      </c>
      <c r="P79" s="86">
        <v>2</v>
      </c>
      <c r="Q79" s="86"/>
      <c r="R79" s="86"/>
      <c r="S79" s="86">
        <v>113</v>
      </c>
      <c r="T79" s="87"/>
      <c r="U79" s="84"/>
      <c r="V79" s="87"/>
      <c r="W79" s="84"/>
      <c r="X79" s="86"/>
      <c r="Y79" s="86"/>
      <c r="Z79" s="86"/>
      <c r="AA79" s="86"/>
      <c r="AB79" s="86"/>
      <c r="AC79" s="87"/>
      <c r="AD79" s="83"/>
    </row>
    <row r="80" spans="1:30" ht="129.75" thickBot="1">
      <c r="A80" s="83">
        <v>2</v>
      </c>
      <c r="B80" s="22" t="s">
        <v>69</v>
      </c>
      <c r="C80" s="84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3"/>
      <c r="O80" s="84">
        <v>8</v>
      </c>
      <c r="P80" s="83"/>
      <c r="Q80" s="87"/>
      <c r="R80" s="83"/>
      <c r="S80" s="84">
        <v>90</v>
      </c>
      <c r="T80" s="83"/>
      <c r="U80" s="87"/>
      <c r="V80" s="83"/>
      <c r="W80" s="87"/>
      <c r="X80" s="83"/>
      <c r="Y80" s="87"/>
      <c r="Z80" s="83"/>
      <c r="AA80" s="87"/>
      <c r="AB80" s="83">
        <v>2</v>
      </c>
      <c r="AC80" s="90"/>
      <c r="AD80" s="84"/>
    </row>
    <row r="81" spans="1:30" ht="129.75" thickBot="1">
      <c r="A81" s="83">
        <v>3</v>
      </c>
      <c r="B81" s="22" t="s">
        <v>38</v>
      </c>
      <c r="C81" s="86">
        <v>20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3"/>
      <c r="O81" s="87"/>
      <c r="P81" s="84">
        <v>5</v>
      </c>
      <c r="Q81" s="87"/>
      <c r="R81" s="83"/>
      <c r="S81" s="87"/>
      <c r="T81" s="90"/>
      <c r="U81" s="83"/>
      <c r="V81" s="84"/>
      <c r="W81" s="87"/>
      <c r="X81" s="83"/>
      <c r="Y81" s="87"/>
      <c r="Z81" s="83">
        <v>9</v>
      </c>
      <c r="AA81" s="87"/>
      <c r="AB81" s="83"/>
      <c r="AC81" s="87"/>
      <c r="AD81" s="83"/>
    </row>
    <row r="82" spans="1:30" ht="65.25" thickBot="1">
      <c r="A82" s="83"/>
      <c r="B82" s="22" t="s">
        <v>6</v>
      </c>
      <c r="C82" s="84">
        <f>SUM(C79+C80+C81)</f>
        <v>20</v>
      </c>
      <c r="D82" s="84">
        <f aca="true" t="shared" si="12" ref="D82:AD82">SUM(D79+D80+D81)</f>
        <v>0</v>
      </c>
      <c r="E82" s="84">
        <f t="shared" si="12"/>
        <v>0</v>
      </c>
      <c r="F82" s="84">
        <f t="shared" si="12"/>
        <v>0</v>
      </c>
      <c r="G82" s="84">
        <f t="shared" si="12"/>
        <v>15</v>
      </c>
      <c r="H82" s="84">
        <f t="shared" si="12"/>
        <v>0</v>
      </c>
      <c r="I82" s="84">
        <f t="shared" si="12"/>
        <v>0</v>
      </c>
      <c r="J82" s="84">
        <f t="shared" si="12"/>
        <v>0</v>
      </c>
      <c r="K82" s="84">
        <f t="shared" si="12"/>
        <v>0</v>
      </c>
      <c r="L82" s="84">
        <f t="shared" si="12"/>
        <v>0</v>
      </c>
      <c r="M82" s="84">
        <f t="shared" si="12"/>
        <v>0</v>
      </c>
      <c r="N82" s="84">
        <f t="shared" si="12"/>
        <v>0</v>
      </c>
      <c r="O82" s="84">
        <f t="shared" si="12"/>
        <v>12</v>
      </c>
      <c r="P82" s="84">
        <f t="shared" si="12"/>
        <v>7</v>
      </c>
      <c r="Q82" s="84">
        <f t="shared" si="12"/>
        <v>0</v>
      </c>
      <c r="R82" s="84">
        <f t="shared" si="12"/>
        <v>0</v>
      </c>
      <c r="S82" s="84">
        <f t="shared" si="12"/>
        <v>203</v>
      </c>
      <c r="T82" s="84">
        <f t="shared" si="12"/>
        <v>0</v>
      </c>
      <c r="U82" s="84">
        <f t="shared" si="12"/>
        <v>0</v>
      </c>
      <c r="V82" s="84">
        <f t="shared" si="12"/>
        <v>0</v>
      </c>
      <c r="W82" s="84">
        <f t="shared" si="12"/>
        <v>0</v>
      </c>
      <c r="X82" s="84">
        <f t="shared" si="12"/>
        <v>0</v>
      </c>
      <c r="Y82" s="84">
        <f t="shared" si="12"/>
        <v>0</v>
      </c>
      <c r="Z82" s="84">
        <f t="shared" si="12"/>
        <v>9</v>
      </c>
      <c r="AA82" s="88">
        <f t="shared" si="12"/>
        <v>0</v>
      </c>
      <c r="AB82" s="84">
        <f t="shared" si="12"/>
        <v>2</v>
      </c>
      <c r="AC82" s="91">
        <f t="shared" si="12"/>
        <v>0</v>
      </c>
      <c r="AD82" s="84">
        <f t="shared" si="12"/>
        <v>0</v>
      </c>
    </row>
    <row r="83" spans="1:30" ht="65.25" thickBot="1">
      <c r="A83" s="155" t="s">
        <v>53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7"/>
    </row>
    <row r="84" spans="1:30" ht="65.25" thickBot="1">
      <c r="A84" s="83" t="s">
        <v>32</v>
      </c>
      <c r="B84" s="25" t="s">
        <v>182</v>
      </c>
      <c r="C84" s="84"/>
      <c r="D84" s="86"/>
      <c r="E84" s="86"/>
      <c r="F84" s="86"/>
      <c r="G84" s="86"/>
      <c r="H84" s="86"/>
      <c r="I84" s="86"/>
      <c r="J84" s="86"/>
      <c r="K84" s="86">
        <v>100</v>
      </c>
      <c r="L84" s="86"/>
      <c r="M84" s="86"/>
      <c r="N84" s="87"/>
      <c r="O84" s="84"/>
      <c r="P84" s="87"/>
      <c r="Q84" s="84"/>
      <c r="R84" s="87"/>
      <c r="S84" s="84"/>
      <c r="T84" s="87"/>
      <c r="U84" s="84"/>
      <c r="V84" s="84"/>
      <c r="W84" s="87"/>
      <c r="X84" s="84"/>
      <c r="Y84" s="84"/>
      <c r="Z84" s="87"/>
      <c r="AA84" s="84"/>
      <c r="AB84" s="87"/>
      <c r="AC84" s="88"/>
      <c r="AD84" s="83"/>
    </row>
    <row r="85" spans="1:30" ht="65.25" thickBot="1">
      <c r="A85" s="83"/>
      <c r="B85" s="22" t="s">
        <v>29</v>
      </c>
      <c r="C85" s="86">
        <f>SUM(C84)</f>
        <v>0</v>
      </c>
      <c r="D85" s="86">
        <f>SUM(D84)</f>
        <v>0</v>
      </c>
      <c r="E85" s="86">
        <f aca="true" t="shared" si="13" ref="E85:AC85">SUM(E84)</f>
        <v>0</v>
      </c>
      <c r="F85" s="86">
        <f t="shared" si="13"/>
        <v>0</v>
      </c>
      <c r="G85" s="86">
        <f t="shared" si="13"/>
        <v>0</v>
      </c>
      <c r="H85" s="86">
        <f t="shared" si="13"/>
        <v>0</v>
      </c>
      <c r="I85" s="86">
        <f t="shared" si="13"/>
        <v>0</v>
      </c>
      <c r="J85" s="86">
        <f t="shared" si="13"/>
        <v>0</v>
      </c>
      <c r="K85" s="86">
        <f t="shared" si="13"/>
        <v>100</v>
      </c>
      <c r="L85" s="86">
        <f t="shared" si="13"/>
        <v>0</v>
      </c>
      <c r="M85" s="86">
        <f t="shared" si="13"/>
        <v>0</v>
      </c>
      <c r="N85" s="86">
        <f t="shared" si="13"/>
        <v>0</v>
      </c>
      <c r="O85" s="86">
        <f t="shared" si="13"/>
        <v>0</v>
      </c>
      <c r="P85" s="86">
        <f t="shared" si="13"/>
        <v>0</v>
      </c>
      <c r="Q85" s="86">
        <f t="shared" si="13"/>
        <v>0</v>
      </c>
      <c r="R85" s="86">
        <f t="shared" si="13"/>
        <v>0</v>
      </c>
      <c r="S85" s="86">
        <f t="shared" si="13"/>
        <v>0</v>
      </c>
      <c r="T85" s="86">
        <f t="shared" si="13"/>
        <v>0</v>
      </c>
      <c r="U85" s="86">
        <f t="shared" si="13"/>
        <v>0</v>
      </c>
      <c r="V85" s="86">
        <f t="shared" si="13"/>
        <v>0</v>
      </c>
      <c r="W85" s="86">
        <f t="shared" si="13"/>
        <v>0</v>
      </c>
      <c r="X85" s="86">
        <f t="shared" si="13"/>
        <v>0</v>
      </c>
      <c r="Y85" s="86">
        <f t="shared" si="13"/>
        <v>0</v>
      </c>
      <c r="Z85" s="86">
        <f t="shared" si="13"/>
        <v>0</v>
      </c>
      <c r="AA85" s="86">
        <f t="shared" si="13"/>
        <v>0</v>
      </c>
      <c r="AB85" s="86">
        <f t="shared" si="13"/>
        <v>0</v>
      </c>
      <c r="AC85" s="87">
        <f t="shared" si="13"/>
        <v>0</v>
      </c>
      <c r="AD85" s="83">
        <f>SUM(AD84)</f>
        <v>0</v>
      </c>
    </row>
    <row r="86" spans="1:30" ht="65.25" thickBot="1">
      <c r="A86" s="155" t="s">
        <v>31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7"/>
    </row>
    <row r="87" spans="1:30" ht="129.75" thickBot="1">
      <c r="A87" s="84">
        <v>88</v>
      </c>
      <c r="B87" s="129" t="s">
        <v>213</v>
      </c>
      <c r="C87" s="84"/>
      <c r="D87" s="86"/>
      <c r="E87" s="86"/>
      <c r="F87" s="86"/>
      <c r="G87" s="86"/>
      <c r="H87" s="86"/>
      <c r="I87" s="86"/>
      <c r="J87" s="86">
        <v>28</v>
      </c>
      <c r="K87" s="86"/>
      <c r="L87" s="86"/>
      <c r="M87" s="86"/>
      <c r="N87" s="87"/>
      <c r="O87" s="83"/>
      <c r="P87" s="87"/>
      <c r="Q87" s="83">
        <v>3</v>
      </c>
      <c r="R87" s="87"/>
      <c r="S87" s="83"/>
      <c r="T87" s="87"/>
      <c r="U87" s="84"/>
      <c r="V87" s="83"/>
      <c r="W87" s="87"/>
      <c r="X87" s="84"/>
      <c r="Y87" s="83"/>
      <c r="Z87" s="87"/>
      <c r="AA87" s="83"/>
      <c r="AB87" s="84"/>
      <c r="AC87" s="88"/>
      <c r="AD87" s="80"/>
    </row>
    <row r="88" spans="1:30" ht="258.75" thickBot="1">
      <c r="A88" s="83">
        <v>52</v>
      </c>
      <c r="B88" s="22" t="s">
        <v>211</v>
      </c>
      <c r="C88" s="84"/>
      <c r="D88" s="86"/>
      <c r="E88" s="86"/>
      <c r="F88" s="86"/>
      <c r="G88" s="86"/>
      <c r="H88" s="86">
        <v>6</v>
      </c>
      <c r="I88" s="86">
        <v>46</v>
      </c>
      <c r="J88" s="86">
        <v>14</v>
      </c>
      <c r="K88" s="86"/>
      <c r="L88" s="86"/>
      <c r="M88" s="86"/>
      <c r="N88" s="87"/>
      <c r="O88" s="83"/>
      <c r="P88" s="87">
        <v>2</v>
      </c>
      <c r="Q88" s="83"/>
      <c r="R88" s="87"/>
      <c r="S88" s="83"/>
      <c r="T88" s="87"/>
      <c r="U88" s="83"/>
      <c r="V88" s="83"/>
      <c r="W88" s="87">
        <v>19</v>
      </c>
      <c r="X88" s="83"/>
      <c r="Y88" s="84"/>
      <c r="Z88" s="87"/>
      <c r="AA88" s="83"/>
      <c r="AB88" s="83"/>
      <c r="AC88" s="87"/>
      <c r="AD88" s="83"/>
    </row>
    <row r="89" spans="1:30" ht="129.75" thickBot="1">
      <c r="A89" s="94">
        <v>64</v>
      </c>
      <c r="B89" s="75" t="s">
        <v>179</v>
      </c>
      <c r="C89" s="95"/>
      <c r="D89" s="96"/>
      <c r="E89" s="96">
        <v>4</v>
      </c>
      <c r="F89" s="96"/>
      <c r="G89" s="96">
        <v>5</v>
      </c>
      <c r="H89" s="96"/>
      <c r="I89" s="96"/>
      <c r="J89" s="96">
        <v>16</v>
      </c>
      <c r="K89" s="96"/>
      <c r="L89" s="96"/>
      <c r="M89" s="96"/>
      <c r="N89" s="97"/>
      <c r="O89" s="94"/>
      <c r="P89" s="97"/>
      <c r="Q89" s="94">
        <v>5</v>
      </c>
      <c r="R89" s="97">
        <v>2.4</v>
      </c>
      <c r="S89" s="94"/>
      <c r="T89" s="97"/>
      <c r="U89" s="94"/>
      <c r="V89" s="94">
        <v>38</v>
      </c>
      <c r="W89" s="97"/>
      <c r="X89" s="94"/>
      <c r="Y89" s="94"/>
      <c r="Z89" s="97"/>
      <c r="AA89" s="94"/>
      <c r="AB89" s="94"/>
      <c r="AC89" s="97"/>
      <c r="AD89" s="105"/>
    </row>
    <row r="90" spans="1:30" ht="129.75" thickBot="1">
      <c r="A90" s="83">
        <v>7</v>
      </c>
      <c r="B90" s="75" t="s">
        <v>66</v>
      </c>
      <c r="C90" s="84"/>
      <c r="D90" s="86"/>
      <c r="E90" s="86">
        <v>1.4</v>
      </c>
      <c r="F90" s="86"/>
      <c r="G90" s="86"/>
      <c r="H90" s="86"/>
      <c r="I90" s="86"/>
      <c r="J90" s="86">
        <v>6</v>
      </c>
      <c r="K90" s="86"/>
      <c r="L90" s="86"/>
      <c r="M90" s="86"/>
      <c r="N90" s="86"/>
      <c r="O90" s="87"/>
      <c r="P90" s="86">
        <v>0.8</v>
      </c>
      <c r="Q90" s="87"/>
      <c r="R90" s="84"/>
      <c r="S90" s="84"/>
      <c r="T90" s="87"/>
      <c r="U90" s="84"/>
      <c r="V90" s="86"/>
      <c r="W90" s="87"/>
      <c r="X90" s="84"/>
      <c r="Y90" s="87"/>
      <c r="Z90" s="84"/>
      <c r="AA90" s="86"/>
      <c r="AB90" s="84"/>
      <c r="AC90" s="87"/>
      <c r="AD90" s="83"/>
    </row>
    <row r="91" spans="1:30" ht="65.25" thickBot="1">
      <c r="A91" s="83">
        <v>63</v>
      </c>
      <c r="B91" s="22" t="s">
        <v>147</v>
      </c>
      <c r="C91" s="84"/>
      <c r="D91" s="86"/>
      <c r="E91" s="86"/>
      <c r="F91" s="86"/>
      <c r="G91" s="86"/>
      <c r="H91" s="86"/>
      <c r="I91" s="86"/>
      <c r="J91" s="86">
        <v>72</v>
      </c>
      <c r="K91" s="86"/>
      <c r="L91" s="86"/>
      <c r="M91" s="86"/>
      <c r="N91" s="86"/>
      <c r="O91" s="86"/>
      <c r="P91" s="86">
        <v>5</v>
      </c>
      <c r="Q91" s="86"/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7"/>
      <c r="AD91" s="83"/>
    </row>
    <row r="92" spans="1:30" ht="129.75" thickBot="1">
      <c r="A92" s="84">
        <v>54</v>
      </c>
      <c r="B92" s="23" t="s">
        <v>154</v>
      </c>
      <c r="C92" s="84"/>
      <c r="D92" s="85"/>
      <c r="E92" s="85"/>
      <c r="F92" s="85"/>
      <c r="G92" s="85"/>
      <c r="H92" s="86"/>
      <c r="I92" s="86"/>
      <c r="J92" s="86"/>
      <c r="K92" s="86"/>
      <c r="L92" s="86">
        <v>30</v>
      </c>
      <c r="M92" s="86"/>
      <c r="N92" s="87"/>
      <c r="O92" s="84">
        <v>10</v>
      </c>
      <c r="P92" s="87"/>
      <c r="Q92" s="84"/>
      <c r="R92" s="87"/>
      <c r="S92" s="84"/>
      <c r="T92" s="84"/>
      <c r="U92" s="87"/>
      <c r="V92" s="84"/>
      <c r="W92" s="87"/>
      <c r="X92" s="84"/>
      <c r="Y92" s="84"/>
      <c r="Z92" s="87"/>
      <c r="AA92" s="84"/>
      <c r="AB92" s="84"/>
      <c r="AC92" s="88"/>
      <c r="AD92" s="83"/>
    </row>
    <row r="93" spans="1:30" ht="129.75" thickBot="1">
      <c r="A93" s="83" t="s">
        <v>32</v>
      </c>
      <c r="B93" s="22" t="s">
        <v>56</v>
      </c>
      <c r="C93" s="84">
        <v>20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7"/>
      <c r="U93" s="83"/>
      <c r="V93" s="86"/>
      <c r="W93" s="87"/>
      <c r="X93" s="83"/>
      <c r="Y93" s="86"/>
      <c r="Z93" s="86"/>
      <c r="AA93" s="86"/>
      <c r="AB93" s="86"/>
      <c r="AC93" s="87"/>
      <c r="AD93" s="83"/>
    </row>
    <row r="94" spans="1:30" ht="129.75" thickBot="1">
      <c r="A94" s="83" t="s">
        <v>32</v>
      </c>
      <c r="B94" s="22" t="s">
        <v>58</v>
      </c>
      <c r="C94" s="84"/>
      <c r="D94" s="86">
        <v>40</v>
      </c>
      <c r="E94" s="86"/>
      <c r="F94" s="86"/>
      <c r="G94" s="86"/>
      <c r="H94" s="86"/>
      <c r="I94" s="86"/>
      <c r="J94" s="86"/>
      <c r="K94" s="86"/>
      <c r="L94" s="86"/>
      <c r="M94" s="86"/>
      <c r="N94" s="83"/>
      <c r="O94" s="87"/>
      <c r="P94" s="83"/>
      <c r="Q94" s="87"/>
      <c r="R94" s="83"/>
      <c r="S94" s="87"/>
      <c r="T94" s="83"/>
      <c r="U94" s="87"/>
      <c r="V94" s="83"/>
      <c r="W94" s="83"/>
      <c r="X94" s="83"/>
      <c r="Y94" s="87"/>
      <c r="Z94" s="83"/>
      <c r="AA94" s="83"/>
      <c r="AB94" s="87"/>
      <c r="AC94" s="90"/>
      <c r="AD94" s="83"/>
    </row>
    <row r="95" spans="1:30" ht="65.25" thickBot="1">
      <c r="A95" s="83"/>
      <c r="B95" s="22" t="s">
        <v>6</v>
      </c>
      <c r="C95" s="86">
        <f aca="true" t="shared" si="14" ref="C95:AD95">SUM(C87:C94)</f>
        <v>20</v>
      </c>
      <c r="D95" s="86">
        <f t="shared" si="14"/>
        <v>40</v>
      </c>
      <c r="E95" s="86">
        <f t="shared" si="14"/>
        <v>5.4</v>
      </c>
      <c r="F95" s="86">
        <f t="shared" si="14"/>
        <v>0</v>
      </c>
      <c r="G95" s="86">
        <f t="shared" si="14"/>
        <v>5</v>
      </c>
      <c r="H95" s="86">
        <f t="shared" si="14"/>
        <v>6</v>
      </c>
      <c r="I95" s="86">
        <f t="shared" si="14"/>
        <v>46</v>
      </c>
      <c r="J95" s="86">
        <f t="shared" si="14"/>
        <v>136</v>
      </c>
      <c r="K95" s="86">
        <f t="shared" si="14"/>
        <v>0</v>
      </c>
      <c r="L95" s="86">
        <f t="shared" si="14"/>
        <v>30</v>
      </c>
      <c r="M95" s="86">
        <f t="shared" si="14"/>
        <v>0</v>
      </c>
      <c r="N95" s="86">
        <f t="shared" si="14"/>
        <v>0</v>
      </c>
      <c r="O95" s="86">
        <f t="shared" si="14"/>
        <v>10</v>
      </c>
      <c r="P95" s="86">
        <f t="shared" si="14"/>
        <v>7.8</v>
      </c>
      <c r="Q95" s="86">
        <f t="shared" si="14"/>
        <v>8</v>
      </c>
      <c r="R95" s="86">
        <f t="shared" si="14"/>
        <v>2.4</v>
      </c>
      <c r="S95" s="86">
        <f t="shared" si="14"/>
        <v>0</v>
      </c>
      <c r="T95" s="86">
        <f t="shared" si="14"/>
        <v>0</v>
      </c>
      <c r="U95" s="86">
        <f t="shared" si="14"/>
        <v>0</v>
      </c>
      <c r="V95" s="86">
        <f t="shared" si="14"/>
        <v>38</v>
      </c>
      <c r="W95" s="86">
        <f t="shared" si="14"/>
        <v>19</v>
      </c>
      <c r="X95" s="86">
        <f t="shared" si="14"/>
        <v>0</v>
      </c>
      <c r="Y95" s="86">
        <f t="shared" si="14"/>
        <v>0</v>
      </c>
      <c r="Z95" s="86">
        <f t="shared" si="14"/>
        <v>0</v>
      </c>
      <c r="AA95" s="86">
        <f t="shared" si="14"/>
        <v>0</v>
      </c>
      <c r="AB95" s="86">
        <f t="shared" si="14"/>
        <v>0</v>
      </c>
      <c r="AC95" s="87">
        <f t="shared" si="14"/>
        <v>0</v>
      </c>
      <c r="AD95" s="83">
        <f t="shared" si="14"/>
        <v>0</v>
      </c>
    </row>
    <row r="96" spans="1:30" ht="65.25" thickBot="1">
      <c r="A96" s="150" t="s">
        <v>145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2"/>
    </row>
    <row r="97" spans="1:30" ht="194.25" thickBot="1">
      <c r="A97" s="92">
        <v>21.1</v>
      </c>
      <c r="B97" s="27" t="s">
        <v>172</v>
      </c>
      <c r="C97" s="83"/>
      <c r="D97" s="86"/>
      <c r="E97" s="83"/>
      <c r="F97" s="83"/>
      <c r="G97" s="83"/>
      <c r="H97" s="86"/>
      <c r="I97" s="86"/>
      <c r="J97" s="86"/>
      <c r="K97" s="86"/>
      <c r="L97" s="86"/>
      <c r="M97" s="86"/>
      <c r="N97" s="87"/>
      <c r="O97" s="84"/>
      <c r="P97" s="87"/>
      <c r="Q97" s="84"/>
      <c r="R97" s="87"/>
      <c r="S97" s="84">
        <v>155</v>
      </c>
      <c r="T97" s="87"/>
      <c r="U97" s="84"/>
      <c r="V97" s="84"/>
      <c r="W97" s="87"/>
      <c r="X97" s="84"/>
      <c r="Y97" s="84"/>
      <c r="Z97" s="87"/>
      <c r="AA97" s="84"/>
      <c r="AB97" s="84"/>
      <c r="AC97" s="88"/>
      <c r="AD97" s="83"/>
    </row>
    <row r="98" spans="1:30" ht="129.75" thickBot="1">
      <c r="A98" s="83">
        <v>55</v>
      </c>
      <c r="B98" s="22" t="s">
        <v>248</v>
      </c>
      <c r="C98" s="84"/>
      <c r="D98" s="85"/>
      <c r="E98" s="85">
        <v>7</v>
      </c>
      <c r="F98" s="85"/>
      <c r="G98" s="85">
        <v>3</v>
      </c>
      <c r="H98" s="86"/>
      <c r="I98" s="86"/>
      <c r="J98" s="86"/>
      <c r="K98" s="86"/>
      <c r="L98" s="86">
        <v>10</v>
      </c>
      <c r="M98" s="86"/>
      <c r="N98" s="86"/>
      <c r="O98" s="86">
        <v>5</v>
      </c>
      <c r="P98" s="86">
        <v>2</v>
      </c>
      <c r="Q98" s="86">
        <v>1</v>
      </c>
      <c r="R98" s="86">
        <v>2</v>
      </c>
      <c r="S98" s="86"/>
      <c r="T98" s="86">
        <v>45</v>
      </c>
      <c r="U98" s="86"/>
      <c r="V98" s="86"/>
      <c r="W98" s="86"/>
      <c r="X98" s="86"/>
      <c r="Y98" s="86"/>
      <c r="Z98" s="86"/>
      <c r="AA98" s="86"/>
      <c r="AB98" s="83"/>
      <c r="AC98" s="87"/>
      <c r="AD98" s="84"/>
    </row>
    <row r="99" spans="1:30" ht="65.25" thickBot="1">
      <c r="A99" s="84"/>
      <c r="B99" s="25" t="s">
        <v>29</v>
      </c>
      <c r="C99" s="84">
        <f aca="true" t="shared" si="15" ref="C99:AD99">C97+C98</f>
        <v>0</v>
      </c>
      <c r="D99" s="84">
        <f t="shared" si="15"/>
        <v>0</v>
      </c>
      <c r="E99" s="84">
        <f t="shared" si="15"/>
        <v>7</v>
      </c>
      <c r="F99" s="84">
        <f t="shared" si="15"/>
        <v>0</v>
      </c>
      <c r="G99" s="84">
        <f t="shared" si="15"/>
        <v>3</v>
      </c>
      <c r="H99" s="84">
        <f t="shared" si="15"/>
        <v>0</v>
      </c>
      <c r="I99" s="84">
        <f t="shared" si="15"/>
        <v>0</v>
      </c>
      <c r="J99" s="84">
        <f t="shared" si="15"/>
        <v>0</v>
      </c>
      <c r="K99" s="84">
        <f t="shared" si="15"/>
        <v>0</v>
      </c>
      <c r="L99" s="84">
        <f t="shared" si="15"/>
        <v>10</v>
      </c>
      <c r="M99" s="84">
        <f t="shared" si="15"/>
        <v>0</v>
      </c>
      <c r="N99" s="84">
        <f t="shared" si="15"/>
        <v>0</v>
      </c>
      <c r="O99" s="84">
        <f t="shared" si="15"/>
        <v>5</v>
      </c>
      <c r="P99" s="84">
        <f t="shared" si="15"/>
        <v>2</v>
      </c>
      <c r="Q99" s="84">
        <v>0.8</v>
      </c>
      <c r="R99" s="84">
        <f t="shared" si="15"/>
        <v>2</v>
      </c>
      <c r="S99" s="84">
        <f t="shared" si="15"/>
        <v>155</v>
      </c>
      <c r="T99" s="84">
        <f t="shared" si="15"/>
        <v>45</v>
      </c>
      <c r="U99" s="84">
        <f t="shared" si="15"/>
        <v>0</v>
      </c>
      <c r="V99" s="84">
        <f t="shared" si="15"/>
        <v>0</v>
      </c>
      <c r="W99" s="84">
        <f t="shared" si="15"/>
        <v>0</v>
      </c>
      <c r="X99" s="84">
        <f t="shared" si="15"/>
        <v>0</v>
      </c>
      <c r="Y99" s="84">
        <f t="shared" si="15"/>
        <v>0</v>
      </c>
      <c r="Z99" s="84">
        <f t="shared" si="15"/>
        <v>0</v>
      </c>
      <c r="AA99" s="84">
        <f t="shared" si="15"/>
        <v>0</v>
      </c>
      <c r="AB99" s="84">
        <f t="shared" si="15"/>
        <v>0</v>
      </c>
      <c r="AC99" s="88">
        <f t="shared" si="15"/>
        <v>0</v>
      </c>
      <c r="AD99" s="84">
        <f t="shared" si="15"/>
        <v>0</v>
      </c>
    </row>
    <row r="100" spans="1:30" ht="65.25" thickBot="1">
      <c r="A100" s="155" t="s">
        <v>144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7"/>
    </row>
    <row r="101" spans="1:30" ht="129.75" thickBot="1">
      <c r="A101" s="84">
        <v>71</v>
      </c>
      <c r="B101" s="25" t="s">
        <v>261</v>
      </c>
      <c r="C101" s="84"/>
      <c r="D101" s="85"/>
      <c r="E101" s="85">
        <v>2</v>
      </c>
      <c r="F101" s="85"/>
      <c r="G101" s="85"/>
      <c r="H101" s="86"/>
      <c r="I101" s="86"/>
      <c r="J101" s="86">
        <v>30</v>
      </c>
      <c r="K101" s="86"/>
      <c r="L101" s="86"/>
      <c r="M101" s="86"/>
      <c r="N101" s="86"/>
      <c r="O101" s="86"/>
      <c r="P101" s="86">
        <v>2</v>
      </c>
      <c r="Q101" s="86"/>
      <c r="R101" s="86"/>
      <c r="S101" s="86">
        <v>25</v>
      </c>
      <c r="T101" s="87"/>
      <c r="U101" s="84"/>
      <c r="V101" s="87"/>
      <c r="W101" s="84"/>
      <c r="X101" s="86">
        <v>97</v>
      </c>
      <c r="Y101" s="86"/>
      <c r="Z101" s="86"/>
      <c r="AA101" s="86"/>
      <c r="AB101" s="86"/>
      <c r="AC101" s="87"/>
      <c r="AD101" s="83"/>
    </row>
    <row r="102" spans="1:30" ht="65.25" thickBot="1">
      <c r="A102" s="84">
        <v>8</v>
      </c>
      <c r="B102" s="22" t="s">
        <v>37</v>
      </c>
      <c r="C102" s="84"/>
      <c r="D102" s="86"/>
      <c r="E102" s="86"/>
      <c r="F102" s="86"/>
      <c r="G102" s="86"/>
      <c r="H102" s="86"/>
      <c r="I102" s="86">
        <v>98</v>
      </c>
      <c r="J102" s="86"/>
      <c r="K102" s="86"/>
      <c r="L102" s="86"/>
      <c r="M102" s="86"/>
      <c r="N102" s="87"/>
      <c r="O102" s="83"/>
      <c r="P102" s="87">
        <v>4</v>
      </c>
      <c r="Q102" s="83"/>
      <c r="R102" s="87"/>
      <c r="S102" s="83">
        <v>18</v>
      </c>
      <c r="T102" s="90"/>
      <c r="U102" s="83"/>
      <c r="V102" s="83"/>
      <c r="W102" s="87"/>
      <c r="X102" s="83"/>
      <c r="Y102" s="83"/>
      <c r="Z102" s="87"/>
      <c r="AA102" s="83"/>
      <c r="AB102" s="87"/>
      <c r="AC102" s="90"/>
      <c r="AD102" s="83"/>
    </row>
    <row r="103" spans="1:30" ht="65.25" thickBot="1">
      <c r="A103" s="89">
        <v>31</v>
      </c>
      <c r="B103" s="23" t="s">
        <v>9</v>
      </c>
      <c r="C103" s="84"/>
      <c r="D103" s="86"/>
      <c r="E103" s="86"/>
      <c r="F103" s="86"/>
      <c r="G103" s="86"/>
      <c r="H103" s="86"/>
      <c r="I103" s="86"/>
      <c r="J103" s="86"/>
      <c r="K103" s="86"/>
      <c r="L103" s="86">
        <v>4</v>
      </c>
      <c r="M103" s="86"/>
      <c r="N103" s="86"/>
      <c r="O103" s="84">
        <v>10</v>
      </c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4">
        <v>0.48</v>
      </c>
      <c r="AB103" s="86"/>
      <c r="AC103" s="87"/>
      <c r="AD103" s="83"/>
    </row>
    <row r="104" spans="1:30" ht="129.75" thickBot="1">
      <c r="A104" s="83">
        <v>69</v>
      </c>
      <c r="B104" s="22" t="s">
        <v>106</v>
      </c>
      <c r="C104" s="84"/>
      <c r="D104" s="86"/>
      <c r="E104" s="86"/>
      <c r="F104" s="86"/>
      <c r="G104" s="86"/>
      <c r="H104" s="86"/>
      <c r="I104" s="86"/>
      <c r="J104" s="86"/>
      <c r="K104" s="86"/>
      <c r="L104" s="86">
        <v>85</v>
      </c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7"/>
      <c r="AD104" s="84"/>
    </row>
    <row r="105" spans="1:30" ht="129.75" thickBot="1">
      <c r="A105" s="83" t="s">
        <v>32</v>
      </c>
      <c r="B105" s="22" t="s">
        <v>56</v>
      </c>
      <c r="C105" s="86">
        <v>15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7"/>
      <c r="AD105" s="83"/>
    </row>
    <row r="106" spans="1:30" ht="65.25" thickBot="1">
      <c r="A106" s="83"/>
      <c r="B106" s="22" t="s">
        <v>6</v>
      </c>
      <c r="C106" s="84">
        <f>C101+C103+C104+C105</f>
        <v>15</v>
      </c>
      <c r="D106" s="84">
        <f aca="true" t="shared" si="16" ref="D106:AD106">D101+D103+D104+D105</f>
        <v>0</v>
      </c>
      <c r="E106" s="84">
        <f t="shared" si="16"/>
        <v>2</v>
      </c>
      <c r="F106" s="84">
        <f t="shared" si="16"/>
        <v>0</v>
      </c>
      <c r="G106" s="84">
        <f t="shared" si="16"/>
        <v>0</v>
      </c>
      <c r="H106" s="84">
        <f t="shared" si="16"/>
        <v>0</v>
      </c>
      <c r="I106" s="84">
        <f t="shared" si="16"/>
        <v>0</v>
      </c>
      <c r="J106" s="84">
        <f t="shared" si="16"/>
        <v>30</v>
      </c>
      <c r="K106" s="84">
        <f t="shared" si="16"/>
        <v>0</v>
      </c>
      <c r="L106" s="84">
        <f t="shared" si="16"/>
        <v>89</v>
      </c>
      <c r="M106" s="84">
        <f t="shared" si="16"/>
        <v>0</v>
      </c>
      <c r="N106" s="84">
        <f t="shared" si="16"/>
        <v>0</v>
      </c>
      <c r="O106" s="84">
        <f t="shared" si="16"/>
        <v>10</v>
      </c>
      <c r="P106" s="84">
        <f t="shared" si="16"/>
        <v>2</v>
      </c>
      <c r="Q106" s="84">
        <f t="shared" si="16"/>
        <v>0</v>
      </c>
      <c r="R106" s="84">
        <f t="shared" si="16"/>
        <v>0</v>
      </c>
      <c r="S106" s="84">
        <f t="shared" si="16"/>
        <v>25</v>
      </c>
      <c r="T106" s="84">
        <f t="shared" si="16"/>
        <v>0</v>
      </c>
      <c r="U106" s="84">
        <f t="shared" si="16"/>
        <v>0</v>
      </c>
      <c r="V106" s="84">
        <f t="shared" si="16"/>
        <v>0</v>
      </c>
      <c r="W106" s="84">
        <f t="shared" si="16"/>
        <v>0</v>
      </c>
      <c r="X106" s="84">
        <f t="shared" si="16"/>
        <v>97</v>
      </c>
      <c r="Y106" s="84">
        <f t="shared" si="16"/>
        <v>0</v>
      </c>
      <c r="Z106" s="84">
        <f t="shared" si="16"/>
        <v>0</v>
      </c>
      <c r="AA106" s="84">
        <f t="shared" si="16"/>
        <v>0.48</v>
      </c>
      <c r="AB106" s="84">
        <f t="shared" si="16"/>
        <v>0</v>
      </c>
      <c r="AC106" s="84">
        <f t="shared" si="16"/>
        <v>0</v>
      </c>
      <c r="AD106" s="84">
        <f t="shared" si="16"/>
        <v>0</v>
      </c>
    </row>
    <row r="107" spans="1:30" ht="194.25" thickBot="1">
      <c r="A107" s="145"/>
      <c r="B107" s="22" t="s">
        <v>148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8"/>
      <c r="AD107" s="84"/>
    </row>
    <row r="108" spans="1:30" ht="65.25" thickBot="1">
      <c r="A108" s="83"/>
      <c r="B108" s="93" t="s">
        <v>10</v>
      </c>
      <c r="C108" s="84">
        <f aca="true" t="shared" si="17" ref="C108:AD108">C82+C85+C95+C99+C106</f>
        <v>55</v>
      </c>
      <c r="D108" s="84">
        <f t="shared" si="17"/>
        <v>40</v>
      </c>
      <c r="E108" s="84">
        <f t="shared" si="17"/>
        <v>14.4</v>
      </c>
      <c r="F108" s="84">
        <f t="shared" si="17"/>
        <v>0</v>
      </c>
      <c r="G108" s="84">
        <f t="shared" si="17"/>
        <v>23</v>
      </c>
      <c r="H108" s="84">
        <f t="shared" si="17"/>
        <v>6</v>
      </c>
      <c r="I108" s="84">
        <f t="shared" si="17"/>
        <v>46</v>
      </c>
      <c r="J108" s="84">
        <f t="shared" si="17"/>
        <v>166</v>
      </c>
      <c r="K108" s="84">
        <f t="shared" si="17"/>
        <v>100</v>
      </c>
      <c r="L108" s="84">
        <f t="shared" si="17"/>
        <v>129</v>
      </c>
      <c r="M108" s="84">
        <f t="shared" si="17"/>
        <v>0</v>
      </c>
      <c r="N108" s="84">
        <f t="shared" si="17"/>
        <v>0</v>
      </c>
      <c r="O108" s="84">
        <f t="shared" si="17"/>
        <v>37</v>
      </c>
      <c r="P108" s="84">
        <f t="shared" si="17"/>
        <v>18.8</v>
      </c>
      <c r="Q108" s="84">
        <f t="shared" si="17"/>
        <v>8.8</v>
      </c>
      <c r="R108" s="84">
        <f t="shared" si="17"/>
        <v>4.4</v>
      </c>
      <c r="S108" s="84">
        <f t="shared" si="17"/>
        <v>383</v>
      </c>
      <c r="T108" s="84">
        <f t="shared" si="17"/>
        <v>45</v>
      </c>
      <c r="U108" s="84">
        <f t="shared" si="17"/>
        <v>0</v>
      </c>
      <c r="V108" s="84">
        <f t="shared" si="17"/>
        <v>38</v>
      </c>
      <c r="W108" s="84">
        <f t="shared" si="17"/>
        <v>19</v>
      </c>
      <c r="X108" s="84">
        <f t="shared" si="17"/>
        <v>97</v>
      </c>
      <c r="Y108" s="84">
        <f t="shared" si="17"/>
        <v>0</v>
      </c>
      <c r="Z108" s="84">
        <f t="shared" si="17"/>
        <v>9</v>
      </c>
      <c r="AA108" s="84">
        <f t="shared" si="17"/>
        <v>0.48</v>
      </c>
      <c r="AB108" s="84">
        <f t="shared" si="17"/>
        <v>2</v>
      </c>
      <c r="AC108" s="88">
        <f t="shared" si="17"/>
        <v>0</v>
      </c>
      <c r="AD108" s="84">
        <f t="shared" si="17"/>
        <v>0</v>
      </c>
    </row>
    <row r="109" spans="1:30" ht="65.25" thickBot="1">
      <c r="A109" s="150" t="s">
        <v>62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2"/>
    </row>
    <row r="110" spans="1:30" ht="65.25" thickBot="1">
      <c r="A110" s="150" t="s">
        <v>15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2"/>
    </row>
    <row r="111" spans="1:30" ht="45.75" customHeight="1">
      <c r="A111" s="166" t="s">
        <v>30</v>
      </c>
      <c r="B111" s="168" t="s">
        <v>23</v>
      </c>
      <c r="C111" s="153" t="s">
        <v>116</v>
      </c>
      <c r="D111" s="153" t="s">
        <v>117</v>
      </c>
      <c r="E111" s="153" t="s">
        <v>118</v>
      </c>
      <c r="F111" s="153" t="s">
        <v>119</v>
      </c>
      <c r="G111" s="153" t="s">
        <v>120</v>
      </c>
      <c r="H111" s="153" t="s">
        <v>121</v>
      </c>
      <c r="I111" s="153" t="s">
        <v>110</v>
      </c>
      <c r="J111" s="153" t="s">
        <v>257</v>
      </c>
      <c r="K111" s="140"/>
      <c r="L111" s="153" t="s">
        <v>142</v>
      </c>
      <c r="M111" s="153" t="s">
        <v>79</v>
      </c>
      <c r="N111" s="153" t="s">
        <v>123</v>
      </c>
      <c r="O111" s="153" t="s">
        <v>80</v>
      </c>
      <c r="P111" s="153" t="s">
        <v>124</v>
      </c>
      <c r="Q111" s="153" t="s">
        <v>81</v>
      </c>
      <c r="R111" s="153" t="s">
        <v>125</v>
      </c>
      <c r="S111" s="153" t="s">
        <v>126</v>
      </c>
      <c r="T111" s="153" t="s">
        <v>127</v>
      </c>
      <c r="U111" s="140"/>
      <c r="V111" s="153" t="s">
        <v>113</v>
      </c>
      <c r="W111" s="153" t="s">
        <v>129</v>
      </c>
      <c r="X111" s="153" t="s">
        <v>84</v>
      </c>
      <c r="Y111" s="153" t="s">
        <v>82</v>
      </c>
      <c r="Z111" s="153" t="s">
        <v>83</v>
      </c>
      <c r="AA111" s="153" t="s">
        <v>85</v>
      </c>
      <c r="AB111" s="140"/>
      <c r="AC111" s="158" t="s">
        <v>78</v>
      </c>
      <c r="AD111" s="153" t="s">
        <v>138</v>
      </c>
    </row>
    <row r="112" spans="1:30" ht="409.5" customHeight="1" thickBot="1">
      <c r="A112" s="167"/>
      <c r="B112" s="169"/>
      <c r="C112" s="154"/>
      <c r="D112" s="154"/>
      <c r="E112" s="154"/>
      <c r="F112" s="154"/>
      <c r="G112" s="154"/>
      <c r="H112" s="154"/>
      <c r="I112" s="154"/>
      <c r="J112" s="154"/>
      <c r="K112" s="141" t="s">
        <v>122</v>
      </c>
      <c r="L112" s="154"/>
      <c r="M112" s="154"/>
      <c r="N112" s="154"/>
      <c r="O112" s="154"/>
      <c r="P112" s="154"/>
      <c r="Q112" s="154"/>
      <c r="R112" s="154"/>
      <c r="S112" s="154"/>
      <c r="T112" s="154"/>
      <c r="U112" s="141" t="s">
        <v>128</v>
      </c>
      <c r="V112" s="154"/>
      <c r="W112" s="154"/>
      <c r="X112" s="154"/>
      <c r="Y112" s="154"/>
      <c r="Z112" s="154"/>
      <c r="AA112" s="154"/>
      <c r="AB112" s="141" t="s">
        <v>77</v>
      </c>
      <c r="AC112" s="159"/>
      <c r="AD112" s="154"/>
    </row>
    <row r="113" spans="1:30" ht="65.25" thickBot="1">
      <c r="A113" s="145">
        <v>1</v>
      </c>
      <c r="B113" s="79">
        <v>2</v>
      </c>
      <c r="C113" s="80" t="s">
        <v>54</v>
      </c>
      <c r="D113" s="81">
        <v>4</v>
      </c>
      <c r="E113" s="80">
        <v>5</v>
      </c>
      <c r="F113" s="80">
        <v>6</v>
      </c>
      <c r="G113" s="80">
        <v>7</v>
      </c>
      <c r="H113" s="80">
        <v>8</v>
      </c>
      <c r="I113" s="80" t="s">
        <v>55</v>
      </c>
      <c r="J113" s="81">
        <v>10</v>
      </c>
      <c r="K113" s="80">
        <v>11</v>
      </c>
      <c r="L113" s="80">
        <v>12</v>
      </c>
      <c r="M113" s="80">
        <v>13</v>
      </c>
      <c r="N113" s="80">
        <v>14</v>
      </c>
      <c r="O113" s="80">
        <v>15</v>
      </c>
      <c r="P113" s="143">
        <v>16</v>
      </c>
      <c r="Q113" s="80">
        <v>17</v>
      </c>
      <c r="R113" s="143">
        <v>18</v>
      </c>
      <c r="S113" s="80">
        <v>19</v>
      </c>
      <c r="T113" s="143">
        <v>20</v>
      </c>
      <c r="U113" s="143">
        <v>21</v>
      </c>
      <c r="V113" s="80">
        <v>22</v>
      </c>
      <c r="W113" s="80">
        <v>23</v>
      </c>
      <c r="X113" s="143">
        <v>24</v>
      </c>
      <c r="Y113" s="80">
        <v>25</v>
      </c>
      <c r="Z113" s="80">
        <v>26</v>
      </c>
      <c r="AA113" s="80">
        <v>27</v>
      </c>
      <c r="AB113" s="143">
        <v>28</v>
      </c>
      <c r="AC113" s="142">
        <v>29</v>
      </c>
      <c r="AD113" s="80">
        <v>31</v>
      </c>
    </row>
    <row r="114" spans="1:30" ht="65.25" thickBot="1">
      <c r="A114" s="150" t="s">
        <v>5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2"/>
    </row>
    <row r="115" spans="1:30" ht="194.25" thickBot="1">
      <c r="A115" s="94">
        <v>39</v>
      </c>
      <c r="B115" s="75" t="s">
        <v>20</v>
      </c>
      <c r="C115" s="95"/>
      <c r="D115" s="96"/>
      <c r="E115" s="96"/>
      <c r="F115" s="96"/>
      <c r="G115" s="96"/>
      <c r="H115" s="96">
        <v>13</v>
      </c>
      <c r="I115" s="96"/>
      <c r="J115" s="96"/>
      <c r="K115" s="96"/>
      <c r="L115" s="96"/>
      <c r="M115" s="96"/>
      <c r="N115" s="94"/>
      <c r="O115" s="97">
        <v>4</v>
      </c>
      <c r="P115" s="94">
        <v>0.8</v>
      </c>
      <c r="Q115" s="97"/>
      <c r="R115" s="94"/>
      <c r="S115" s="97">
        <v>116</v>
      </c>
      <c r="T115" s="94"/>
      <c r="U115" s="97"/>
      <c r="V115" s="95"/>
      <c r="W115" s="97"/>
      <c r="X115" s="94"/>
      <c r="Y115" s="97"/>
      <c r="Z115" s="94"/>
      <c r="AA115" s="97"/>
      <c r="AB115" s="95"/>
      <c r="AC115" s="98"/>
      <c r="AD115" s="94"/>
    </row>
    <row r="116" spans="1:30" ht="129.75" thickBot="1">
      <c r="A116" s="83">
        <v>2</v>
      </c>
      <c r="B116" s="22" t="s">
        <v>69</v>
      </c>
      <c r="C116" s="84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3"/>
      <c r="O116" s="84">
        <v>8</v>
      </c>
      <c r="P116" s="83"/>
      <c r="Q116" s="87"/>
      <c r="R116" s="83"/>
      <c r="S116" s="84">
        <v>90</v>
      </c>
      <c r="T116" s="83"/>
      <c r="U116" s="87"/>
      <c r="V116" s="83"/>
      <c r="W116" s="87"/>
      <c r="X116" s="83"/>
      <c r="Y116" s="87"/>
      <c r="Z116" s="83"/>
      <c r="AA116" s="87"/>
      <c r="AB116" s="83">
        <v>2</v>
      </c>
      <c r="AC116" s="90"/>
      <c r="AD116" s="84"/>
    </row>
    <row r="117" spans="1:30" ht="65.25" thickBot="1">
      <c r="A117" s="83">
        <v>16</v>
      </c>
      <c r="B117" s="22" t="s">
        <v>36</v>
      </c>
      <c r="C117" s="86">
        <v>20</v>
      </c>
      <c r="D117" s="85"/>
      <c r="E117" s="85"/>
      <c r="F117" s="85"/>
      <c r="G117" s="85"/>
      <c r="H117" s="86"/>
      <c r="I117" s="86"/>
      <c r="J117" s="86"/>
      <c r="K117" s="86"/>
      <c r="L117" s="86"/>
      <c r="M117" s="86"/>
      <c r="N117" s="87"/>
      <c r="O117" s="84"/>
      <c r="P117" s="84">
        <v>5</v>
      </c>
      <c r="Q117" s="84"/>
      <c r="R117" s="87"/>
      <c r="S117" s="84"/>
      <c r="T117" s="87"/>
      <c r="U117" s="83"/>
      <c r="V117" s="84"/>
      <c r="W117" s="83"/>
      <c r="X117" s="87"/>
      <c r="Y117" s="84"/>
      <c r="Z117" s="84"/>
      <c r="AA117" s="87"/>
      <c r="AB117" s="83"/>
      <c r="AC117" s="88"/>
      <c r="AD117" s="84"/>
    </row>
    <row r="118" spans="1:30" ht="65.25" thickBot="1">
      <c r="A118" s="83"/>
      <c r="B118" s="22" t="s">
        <v>6</v>
      </c>
      <c r="C118" s="84">
        <f>SUM(C115+C116+C117)</f>
        <v>20</v>
      </c>
      <c r="D118" s="84">
        <f aca="true" t="shared" si="18" ref="D118:AD118">SUM(D115+D116+D117)</f>
        <v>0</v>
      </c>
      <c r="E118" s="84">
        <f t="shared" si="18"/>
        <v>0</v>
      </c>
      <c r="F118" s="84">
        <f t="shared" si="18"/>
        <v>0</v>
      </c>
      <c r="G118" s="84">
        <f t="shared" si="18"/>
        <v>0</v>
      </c>
      <c r="H118" s="84">
        <f t="shared" si="18"/>
        <v>13</v>
      </c>
      <c r="I118" s="84">
        <f t="shared" si="18"/>
        <v>0</v>
      </c>
      <c r="J118" s="84">
        <f t="shared" si="18"/>
        <v>0</v>
      </c>
      <c r="K118" s="84">
        <f t="shared" si="18"/>
        <v>0</v>
      </c>
      <c r="L118" s="84">
        <f t="shared" si="18"/>
        <v>0</v>
      </c>
      <c r="M118" s="84">
        <f t="shared" si="18"/>
        <v>0</v>
      </c>
      <c r="N118" s="84">
        <f t="shared" si="18"/>
        <v>0</v>
      </c>
      <c r="O118" s="84">
        <f t="shared" si="18"/>
        <v>12</v>
      </c>
      <c r="P118" s="84">
        <f t="shared" si="18"/>
        <v>5.8</v>
      </c>
      <c r="Q118" s="84">
        <f t="shared" si="18"/>
        <v>0</v>
      </c>
      <c r="R118" s="84">
        <f t="shared" si="18"/>
        <v>0</v>
      </c>
      <c r="S118" s="84">
        <f t="shared" si="18"/>
        <v>206</v>
      </c>
      <c r="T118" s="84">
        <f t="shared" si="18"/>
        <v>0</v>
      </c>
      <c r="U118" s="84">
        <f t="shared" si="18"/>
        <v>0</v>
      </c>
      <c r="V118" s="84">
        <f t="shared" si="18"/>
        <v>0</v>
      </c>
      <c r="W118" s="84">
        <f t="shared" si="18"/>
        <v>0</v>
      </c>
      <c r="X118" s="84">
        <f t="shared" si="18"/>
        <v>0</v>
      </c>
      <c r="Y118" s="84">
        <f t="shared" si="18"/>
        <v>0</v>
      </c>
      <c r="Z118" s="84">
        <f t="shared" si="18"/>
        <v>0</v>
      </c>
      <c r="AA118" s="84">
        <f t="shared" si="18"/>
        <v>0</v>
      </c>
      <c r="AB118" s="84">
        <f t="shared" si="18"/>
        <v>2</v>
      </c>
      <c r="AC118" s="88">
        <f t="shared" si="18"/>
        <v>0</v>
      </c>
      <c r="AD118" s="84">
        <f t="shared" si="18"/>
        <v>0</v>
      </c>
    </row>
    <row r="119" spans="1:30" ht="65.25" thickBot="1">
      <c r="A119" s="155" t="s">
        <v>53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7"/>
    </row>
    <row r="120" spans="1:30" ht="65.25" thickBot="1">
      <c r="A120" s="83" t="s">
        <v>32</v>
      </c>
      <c r="B120" s="25" t="s">
        <v>182</v>
      </c>
      <c r="C120" s="84"/>
      <c r="D120" s="86"/>
      <c r="E120" s="86"/>
      <c r="F120" s="86"/>
      <c r="G120" s="86"/>
      <c r="H120" s="86"/>
      <c r="I120" s="86"/>
      <c r="J120" s="86"/>
      <c r="K120" s="86">
        <v>100</v>
      </c>
      <c r="L120" s="86"/>
      <c r="M120" s="86"/>
      <c r="N120" s="87"/>
      <c r="O120" s="84"/>
      <c r="P120" s="87"/>
      <c r="Q120" s="84"/>
      <c r="R120" s="87"/>
      <c r="S120" s="84"/>
      <c r="T120" s="87"/>
      <c r="U120" s="84"/>
      <c r="V120" s="84"/>
      <c r="W120" s="87"/>
      <c r="X120" s="84"/>
      <c r="Y120" s="84"/>
      <c r="Z120" s="87"/>
      <c r="AA120" s="84"/>
      <c r="AB120" s="87"/>
      <c r="AC120" s="88"/>
      <c r="AD120" s="83"/>
    </row>
    <row r="121" spans="1:30" ht="65.25" thickBot="1">
      <c r="A121" s="83"/>
      <c r="B121" s="22" t="s">
        <v>29</v>
      </c>
      <c r="C121" s="86">
        <f>SUM(C120)</f>
        <v>0</v>
      </c>
      <c r="D121" s="86">
        <f>SUM(D120)</f>
        <v>0</v>
      </c>
      <c r="E121" s="86">
        <f aca="true" t="shared" si="19" ref="E121:AC121">SUM(E120)</f>
        <v>0</v>
      </c>
      <c r="F121" s="86">
        <f t="shared" si="19"/>
        <v>0</v>
      </c>
      <c r="G121" s="86">
        <f t="shared" si="19"/>
        <v>0</v>
      </c>
      <c r="H121" s="86">
        <f t="shared" si="19"/>
        <v>0</v>
      </c>
      <c r="I121" s="86">
        <f t="shared" si="19"/>
        <v>0</v>
      </c>
      <c r="J121" s="86">
        <f t="shared" si="19"/>
        <v>0</v>
      </c>
      <c r="K121" s="86">
        <f t="shared" si="19"/>
        <v>100</v>
      </c>
      <c r="L121" s="86">
        <f t="shared" si="19"/>
        <v>0</v>
      </c>
      <c r="M121" s="86">
        <f t="shared" si="19"/>
        <v>0</v>
      </c>
      <c r="N121" s="86">
        <f t="shared" si="19"/>
        <v>0</v>
      </c>
      <c r="O121" s="86">
        <f t="shared" si="19"/>
        <v>0</v>
      </c>
      <c r="P121" s="86">
        <f t="shared" si="19"/>
        <v>0</v>
      </c>
      <c r="Q121" s="86">
        <f t="shared" si="19"/>
        <v>0</v>
      </c>
      <c r="R121" s="86">
        <f t="shared" si="19"/>
        <v>0</v>
      </c>
      <c r="S121" s="86">
        <f t="shared" si="19"/>
        <v>0</v>
      </c>
      <c r="T121" s="86">
        <f t="shared" si="19"/>
        <v>0</v>
      </c>
      <c r="U121" s="86">
        <f t="shared" si="19"/>
        <v>0</v>
      </c>
      <c r="V121" s="86">
        <f t="shared" si="19"/>
        <v>0</v>
      </c>
      <c r="W121" s="86">
        <f t="shared" si="19"/>
        <v>0</v>
      </c>
      <c r="X121" s="86">
        <f t="shared" si="19"/>
        <v>0</v>
      </c>
      <c r="Y121" s="86">
        <f t="shared" si="19"/>
        <v>0</v>
      </c>
      <c r="Z121" s="86">
        <f t="shared" si="19"/>
        <v>0</v>
      </c>
      <c r="AA121" s="86">
        <f t="shared" si="19"/>
        <v>0</v>
      </c>
      <c r="AB121" s="86">
        <f t="shared" si="19"/>
        <v>0</v>
      </c>
      <c r="AC121" s="87">
        <f t="shared" si="19"/>
        <v>0</v>
      </c>
      <c r="AD121" s="83">
        <f>SUM(AD120)</f>
        <v>0</v>
      </c>
    </row>
    <row r="122" spans="1:30" ht="65.25" thickBot="1">
      <c r="A122" s="155" t="s">
        <v>31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7"/>
    </row>
    <row r="123" spans="1:30" ht="65.25" thickBot="1">
      <c r="A123" s="84">
        <v>56</v>
      </c>
      <c r="B123" s="22" t="s">
        <v>228</v>
      </c>
      <c r="C123" s="84"/>
      <c r="D123" s="86"/>
      <c r="E123" s="86"/>
      <c r="F123" s="86"/>
      <c r="G123" s="86"/>
      <c r="H123" s="86"/>
      <c r="I123" s="86"/>
      <c r="J123" s="86">
        <v>28.8</v>
      </c>
      <c r="K123" s="86"/>
      <c r="L123" s="86"/>
      <c r="M123" s="86"/>
      <c r="N123" s="87"/>
      <c r="O123" s="83"/>
      <c r="P123" s="87"/>
      <c r="Q123" s="83">
        <v>3</v>
      </c>
      <c r="R123" s="87"/>
      <c r="S123" s="83"/>
      <c r="T123" s="87"/>
      <c r="U123" s="84"/>
      <c r="V123" s="83"/>
      <c r="W123" s="87"/>
      <c r="X123" s="84"/>
      <c r="Y123" s="83"/>
      <c r="Z123" s="87"/>
      <c r="AA123" s="83"/>
      <c r="AB123" s="84"/>
      <c r="AC123" s="88"/>
      <c r="AD123" s="83"/>
    </row>
    <row r="124" spans="1:30" ht="129.75" thickBot="1">
      <c r="A124" s="83">
        <v>107</v>
      </c>
      <c r="B124" s="22" t="s">
        <v>238</v>
      </c>
      <c r="C124" s="84"/>
      <c r="D124" s="85"/>
      <c r="E124" s="85"/>
      <c r="F124" s="85"/>
      <c r="G124" s="85"/>
      <c r="H124" s="86"/>
      <c r="I124" s="86">
        <v>75</v>
      </c>
      <c r="J124" s="86">
        <v>17.2</v>
      </c>
      <c r="K124" s="86"/>
      <c r="L124" s="86"/>
      <c r="M124" s="86"/>
      <c r="N124" s="87"/>
      <c r="O124" s="84"/>
      <c r="P124" s="87">
        <v>2</v>
      </c>
      <c r="Q124" s="84"/>
      <c r="R124" s="87">
        <v>20</v>
      </c>
      <c r="S124" s="84"/>
      <c r="T124" s="87"/>
      <c r="U124" s="83"/>
      <c r="V124" s="83"/>
      <c r="W124" s="87">
        <v>19</v>
      </c>
      <c r="X124" s="83"/>
      <c r="Y124" s="84"/>
      <c r="Z124" s="84"/>
      <c r="AA124" s="87"/>
      <c r="AB124" s="83"/>
      <c r="AC124" s="88"/>
      <c r="AD124" s="84"/>
    </row>
    <row r="125" spans="1:30" ht="65.25" thickBot="1">
      <c r="A125" s="84">
        <v>91</v>
      </c>
      <c r="B125" s="22" t="s">
        <v>170</v>
      </c>
      <c r="C125" s="84"/>
      <c r="D125" s="86"/>
      <c r="E125" s="86"/>
      <c r="F125" s="86"/>
      <c r="G125" s="86"/>
      <c r="H125" s="86"/>
      <c r="I125" s="86">
        <v>85</v>
      </c>
      <c r="J125" s="86">
        <v>27</v>
      </c>
      <c r="K125" s="86"/>
      <c r="L125" s="86"/>
      <c r="M125" s="86"/>
      <c r="N125" s="87"/>
      <c r="O125" s="83"/>
      <c r="P125" s="87"/>
      <c r="Q125" s="83">
        <v>4</v>
      </c>
      <c r="R125" s="87"/>
      <c r="S125" s="83"/>
      <c r="T125" s="90"/>
      <c r="U125" s="83"/>
      <c r="V125" s="83"/>
      <c r="W125" s="87"/>
      <c r="X125" s="83"/>
      <c r="Y125" s="83"/>
      <c r="Z125" s="87"/>
      <c r="AA125" s="83"/>
      <c r="AB125" s="87"/>
      <c r="AC125" s="90"/>
      <c r="AD125" s="83"/>
    </row>
    <row r="126" spans="1:30" ht="129.75" thickBot="1">
      <c r="A126" s="84">
        <v>29</v>
      </c>
      <c r="B126" s="22" t="s">
        <v>163</v>
      </c>
      <c r="C126" s="86">
        <v>20</v>
      </c>
      <c r="D126" s="86"/>
      <c r="E126" s="86"/>
      <c r="F126" s="86"/>
      <c r="G126" s="86"/>
      <c r="H126" s="86"/>
      <c r="I126" s="86"/>
      <c r="J126" s="86">
        <v>7</v>
      </c>
      <c r="K126" s="86"/>
      <c r="L126" s="86"/>
      <c r="M126" s="86"/>
      <c r="N126" s="86"/>
      <c r="O126" s="86"/>
      <c r="P126" s="86"/>
      <c r="Q126" s="86">
        <v>5</v>
      </c>
      <c r="R126" s="86">
        <v>9</v>
      </c>
      <c r="S126" s="86">
        <v>11</v>
      </c>
      <c r="T126" s="86"/>
      <c r="U126" s="86"/>
      <c r="V126" s="86"/>
      <c r="W126" s="86"/>
      <c r="X126" s="86">
        <v>53</v>
      </c>
      <c r="Y126" s="86"/>
      <c r="Z126" s="86"/>
      <c r="AA126" s="86"/>
      <c r="AB126" s="86"/>
      <c r="AC126" s="87"/>
      <c r="AD126" s="83"/>
    </row>
    <row r="127" spans="1:30" ht="65.25" thickBot="1">
      <c r="A127" s="83">
        <v>9</v>
      </c>
      <c r="B127" s="25" t="s">
        <v>225</v>
      </c>
      <c r="C127" s="84"/>
      <c r="D127" s="86"/>
      <c r="E127" s="86"/>
      <c r="F127" s="86"/>
      <c r="G127" s="86"/>
      <c r="H127" s="86"/>
      <c r="I127" s="86"/>
      <c r="J127" s="86"/>
      <c r="K127" s="86"/>
      <c r="L127" s="86"/>
      <c r="M127" s="86">
        <v>15</v>
      </c>
      <c r="N127" s="87"/>
      <c r="O127" s="84">
        <v>10</v>
      </c>
      <c r="P127" s="87"/>
      <c r="Q127" s="84"/>
      <c r="R127" s="87"/>
      <c r="S127" s="84"/>
      <c r="T127" s="87"/>
      <c r="U127" s="84"/>
      <c r="V127" s="84"/>
      <c r="W127" s="87"/>
      <c r="X127" s="84"/>
      <c r="Y127" s="84"/>
      <c r="Z127" s="87"/>
      <c r="AA127" s="84"/>
      <c r="AB127" s="87"/>
      <c r="AC127" s="88"/>
      <c r="AD127" s="83"/>
    </row>
    <row r="128" spans="1:30" ht="129.75" thickBot="1">
      <c r="A128" s="83" t="s">
        <v>32</v>
      </c>
      <c r="B128" s="22" t="s">
        <v>56</v>
      </c>
      <c r="C128" s="84">
        <v>20</v>
      </c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7"/>
      <c r="U128" s="83"/>
      <c r="V128" s="86"/>
      <c r="W128" s="87"/>
      <c r="X128" s="83"/>
      <c r="Y128" s="86"/>
      <c r="Z128" s="86"/>
      <c r="AA128" s="86"/>
      <c r="AB128" s="86"/>
      <c r="AC128" s="87"/>
      <c r="AD128" s="83"/>
    </row>
    <row r="129" spans="1:30" ht="129.75" thickBot="1">
      <c r="A129" s="83" t="s">
        <v>32</v>
      </c>
      <c r="B129" s="22" t="s">
        <v>58</v>
      </c>
      <c r="C129" s="84"/>
      <c r="D129" s="86">
        <v>40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7"/>
      <c r="X129" s="83"/>
      <c r="Y129" s="86"/>
      <c r="Z129" s="86"/>
      <c r="AA129" s="86"/>
      <c r="AB129" s="86"/>
      <c r="AC129" s="87"/>
      <c r="AD129" s="83"/>
    </row>
    <row r="130" spans="1:30" ht="65.25" thickBot="1">
      <c r="A130" s="83"/>
      <c r="B130" s="22" t="s">
        <v>6</v>
      </c>
      <c r="C130" s="84">
        <f aca="true" t="shared" si="20" ref="C130:AD130">SUM(C123:C129)</f>
        <v>40</v>
      </c>
      <c r="D130" s="84">
        <f t="shared" si="20"/>
        <v>40</v>
      </c>
      <c r="E130" s="84">
        <f t="shared" si="20"/>
        <v>0</v>
      </c>
      <c r="F130" s="84">
        <f t="shared" si="20"/>
        <v>0</v>
      </c>
      <c r="G130" s="84">
        <f t="shared" si="20"/>
        <v>0</v>
      </c>
      <c r="H130" s="84">
        <f t="shared" si="20"/>
        <v>0</v>
      </c>
      <c r="I130" s="84">
        <f t="shared" si="20"/>
        <v>160</v>
      </c>
      <c r="J130" s="84">
        <f t="shared" si="20"/>
        <v>80</v>
      </c>
      <c r="K130" s="84">
        <f t="shared" si="20"/>
        <v>0</v>
      </c>
      <c r="L130" s="84">
        <f t="shared" si="20"/>
        <v>0</v>
      </c>
      <c r="M130" s="84">
        <f t="shared" si="20"/>
        <v>15</v>
      </c>
      <c r="N130" s="84">
        <f t="shared" si="20"/>
        <v>0</v>
      </c>
      <c r="O130" s="84">
        <f t="shared" si="20"/>
        <v>10</v>
      </c>
      <c r="P130" s="84">
        <f t="shared" si="20"/>
        <v>2</v>
      </c>
      <c r="Q130" s="84">
        <f t="shared" si="20"/>
        <v>12</v>
      </c>
      <c r="R130" s="84">
        <f t="shared" si="20"/>
        <v>29</v>
      </c>
      <c r="S130" s="84">
        <f t="shared" si="20"/>
        <v>11</v>
      </c>
      <c r="T130" s="84">
        <f t="shared" si="20"/>
        <v>0</v>
      </c>
      <c r="U130" s="84">
        <f t="shared" si="20"/>
        <v>0</v>
      </c>
      <c r="V130" s="84">
        <f t="shared" si="20"/>
        <v>0</v>
      </c>
      <c r="W130" s="84">
        <f t="shared" si="20"/>
        <v>19</v>
      </c>
      <c r="X130" s="84">
        <f t="shared" si="20"/>
        <v>53</v>
      </c>
      <c r="Y130" s="84">
        <f t="shared" si="20"/>
        <v>0</v>
      </c>
      <c r="Z130" s="84">
        <f t="shared" si="20"/>
        <v>0</v>
      </c>
      <c r="AA130" s="84">
        <f t="shared" si="20"/>
        <v>0</v>
      </c>
      <c r="AB130" s="84">
        <f t="shared" si="20"/>
        <v>0</v>
      </c>
      <c r="AC130" s="88">
        <f t="shared" si="20"/>
        <v>0</v>
      </c>
      <c r="AD130" s="84">
        <f t="shared" si="20"/>
        <v>0</v>
      </c>
    </row>
    <row r="131" spans="1:30" ht="65.25" thickBot="1">
      <c r="A131" s="150" t="s">
        <v>145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2"/>
    </row>
    <row r="132" spans="1:30" ht="194.25" thickBot="1">
      <c r="A132" s="92">
        <v>21.1</v>
      </c>
      <c r="B132" s="27" t="s">
        <v>172</v>
      </c>
      <c r="C132" s="83"/>
      <c r="D132" s="86"/>
      <c r="E132" s="83"/>
      <c r="F132" s="83"/>
      <c r="G132" s="83"/>
      <c r="H132" s="86"/>
      <c r="I132" s="86"/>
      <c r="J132" s="86"/>
      <c r="K132" s="86"/>
      <c r="L132" s="86"/>
      <c r="M132" s="86"/>
      <c r="N132" s="87"/>
      <c r="O132" s="84"/>
      <c r="P132" s="87"/>
      <c r="Q132" s="84"/>
      <c r="R132" s="87"/>
      <c r="S132" s="84">
        <v>155</v>
      </c>
      <c r="T132" s="87"/>
      <c r="U132" s="84"/>
      <c r="V132" s="84"/>
      <c r="W132" s="87"/>
      <c r="X132" s="84"/>
      <c r="Y132" s="84"/>
      <c r="Z132" s="87"/>
      <c r="AA132" s="84"/>
      <c r="AB132" s="84"/>
      <c r="AC132" s="88"/>
      <c r="AD132" s="83"/>
    </row>
    <row r="133" spans="1:30" ht="194.25" thickBot="1">
      <c r="A133" s="83">
        <v>95</v>
      </c>
      <c r="B133" s="22" t="s">
        <v>266</v>
      </c>
      <c r="C133" s="84"/>
      <c r="D133" s="85"/>
      <c r="E133" s="85">
        <v>28.8</v>
      </c>
      <c r="F133" s="85"/>
      <c r="G133" s="85"/>
      <c r="H133" s="86"/>
      <c r="I133" s="86"/>
      <c r="J133" s="86"/>
      <c r="K133" s="86"/>
      <c r="L133" s="86"/>
      <c r="M133" s="86"/>
      <c r="N133" s="86"/>
      <c r="O133" s="86">
        <v>1.7</v>
      </c>
      <c r="P133" s="86">
        <v>3.6</v>
      </c>
      <c r="Q133" s="86">
        <v>0.9</v>
      </c>
      <c r="R133" s="86">
        <v>4.8</v>
      </c>
      <c r="S133" s="86">
        <v>7</v>
      </c>
      <c r="T133" s="86"/>
      <c r="U133" s="86"/>
      <c r="V133" s="86"/>
      <c r="W133" s="86"/>
      <c r="X133" s="86"/>
      <c r="Y133" s="86"/>
      <c r="Z133" s="86"/>
      <c r="AA133" s="86"/>
      <c r="AB133" s="83"/>
      <c r="AC133" s="87"/>
      <c r="AD133" s="84">
        <v>1</v>
      </c>
    </row>
    <row r="134" spans="1:30" ht="65.25" thickBot="1">
      <c r="A134" s="84"/>
      <c r="B134" s="25" t="s">
        <v>29</v>
      </c>
      <c r="C134" s="84">
        <f aca="true" t="shared" si="21" ref="C134:AD134">C132+C133</f>
        <v>0</v>
      </c>
      <c r="D134" s="84">
        <f t="shared" si="21"/>
        <v>0</v>
      </c>
      <c r="E134" s="84">
        <f t="shared" si="21"/>
        <v>28.8</v>
      </c>
      <c r="F134" s="84">
        <f t="shared" si="21"/>
        <v>0</v>
      </c>
      <c r="G134" s="84">
        <f t="shared" si="21"/>
        <v>0</v>
      </c>
      <c r="H134" s="84">
        <f t="shared" si="21"/>
        <v>0</v>
      </c>
      <c r="I134" s="84">
        <f t="shared" si="21"/>
        <v>0</v>
      </c>
      <c r="J134" s="84">
        <f t="shared" si="21"/>
        <v>0</v>
      </c>
      <c r="K134" s="84">
        <f t="shared" si="21"/>
        <v>0</v>
      </c>
      <c r="L134" s="84">
        <f t="shared" si="21"/>
        <v>0</v>
      </c>
      <c r="M134" s="84">
        <f t="shared" si="21"/>
        <v>0</v>
      </c>
      <c r="N134" s="84">
        <f t="shared" si="21"/>
        <v>0</v>
      </c>
      <c r="O134" s="84">
        <f t="shared" si="21"/>
        <v>1.7</v>
      </c>
      <c r="P134" s="84">
        <f t="shared" si="21"/>
        <v>3.6</v>
      </c>
      <c r="Q134" s="84">
        <f t="shared" si="21"/>
        <v>0.9</v>
      </c>
      <c r="R134" s="84">
        <f t="shared" si="21"/>
        <v>4.8</v>
      </c>
      <c r="S134" s="84">
        <f t="shared" si="21"/>
        <v>162</v>
      </c>
      <c r="T134" s="84">
        <f t="shared" si="21"/>
        <v>0</v>
      </c>
      <c r="U134" s="84">
        <f t="shared" si="21"/>
        <v>0</v>
      </c>
      <c r="V134" s="84">
        <f t="shared" si="21"/>
        <v>0</v>
      </c>
      <c r="W134" s="84">
        <f t="shared" si="21"/>
        <v>0</v>
      </c>
      <c r="X134" s="84">
        <f t="shared" si="21"/>
        <v>0</v>
      </c>
      <c r="Y134" s="84">
        <f t="shared" si="21"/>
        <v>0</v>
      </c>
      <c r="Z134" s="84">
        <f t="shared" si="21"/>
        <v>0</v>
      </c>
      <c r="AA134" s="84">
        <f t="shared" si="21"/>
        <v>0</v>
      </c>
      <c r="AB134" s="84">
        <f t="shared" si="21"/>
        <v>0</v>
      </c>
      <c r="AC134" s="88">
        <f t="shared" si="21"/>
        <v>0</v>
      </c>
      <c r="AD134" s="84">
        <f t="shared" si="21"/>
        <v>1</v>
      </c>
    </row>
    <row r="135" spans="1:30" ht="65.25" thickBot="1">
      <c r="A135" s="155" t="s">
        <v>144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7"/>
    </row>
    <row r="136" spans="1:30" ht="65.25" thickBot="1">
      <c r="A136" s="83">
        <v>26</v>
      </c>
      <c r="B136" s="25" t="s">
        <v>249</v>
      </c>
      <c r="C136" s="84"/>
      <c r="D136" s="86"/>
      <c r="E136" s="86"/>
      <c r="F136" s="86"/>
      <c r="G136" s="86">
        <v>24</v>
      </c>
      <c r="H136" s="86"/>
      <c r="I136" s="86"/>
      <c r="J136" s="86"/>
      <c r="K136" s="86"/>
      <c r="L136" s="86"/>
      <c r="M136" s="86"/>
      <c r="N136" s="83"/>
      <c r="O136" s="87">
        <v>4</v>
      </c>
      <c r="P136" s="83">
        <v>2</v>
      </c>
      <c r="Q136" s="87"/>
      <c r="R136" s="83"/>
      <c r="S136" s="87">
        <v>102</v>
      </c>
      <c r="T136" s="83"/>
      <c r="U136" s="87"/>
      <c r="V136" s="84"/>
      <c r="W136" s="87"/>
      <c r="X136" s="83"/>
      <c r="Y136" s="87"/>
      <c r="Z136" s="83"/>
      <c r="AA136" s="87"/>
      <c r="AB136" s="84"/>
      <c r="AC136" s="90"/>
      <c r="AD136" s="83"/>
    </row>
    <row r="137" spans="1:30" ht="65.25" thickBot="1">
      <c r="A137" s="84">
        <v>13</v>
      </c>
      <c r="B137" s="23" t="s">
        <v>7</v>
      </c>
      <c r="C137" s="84"/>
      <c r="D137" s="85"/>
      <c r="E137" s="85"/>
      <c r="F137" s="85"/>
      <c r="G137" s="85"/>
      <c r="H137" s="86"/>
      <c r="I137" s="86"/>
      <c r="J137" s="86"/>
      <c r="K137" s="86"/>
      <c r="L137" s="86"/>
      <c r="M137" s="86"/>
      <c r="N137" s="87"/>
      <c r="O137" s="84">
        <v>10</v>
      </c>
      <c r="P137" s="87"/>
      <c r="Q137" s="84"/>
      <c r="R137" s="87"/>
      <c r="S137" s="84"/>
      <c r="T137" s="84"/>
      <c r="U137" s="87"/>
      <c r="V137" s="84"/>
      <c r="W137" s="87"/>
      <c r="X137" s="84"/>
      <c r="Y137" s="84"/>
      <c r="Z137" s="87"/>
      <c r="AA137" s="84">
        <v>0.48</v>
      </c>
      <c r="AB137" s="84"/>
      <c r="AC137" s="90"/>
      <c r="AD137" s="83"/>
    </row>
    <row r="138" spans="1:30" ht="129.75" thickBot="1">
      <c r="A138" s="83">
        <v>69</v>
      </c>
      <c r="B138" s="22" t="s">
        <v>106</v>
      </c>
      <c r="C138" s="84"/>
      <c r="D138" s="86"/>
      <c r="E138" s="86"/>
      <c r="F138" s="86"/>
      <c r="G138" s="86"/>
      <c r="H138" s="86"/>
      <c r="I138" s="86"/>
      <c r="J138" s="86"/>
      <c r="K138" s="86"/>
      <c r="L138" s="86">
        <v>85</v>
      </c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7"/>
      <c r="AD138" s="84"/>
    </row>
    <row r="139" spans="1:30" ht="129.75" thickBot="1">
      <c r="A139" s="83" t="s">
        <v>32</v>
      </c>
      <c r="B139" s="22" t="s">
        <v>56</v>
      </c>
      <c r="C139" s="86">
        <v>15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7"/>
      <c r="AD139" s="83"/>
    </row>
    <row r="140" spans="1:30" ht="65.25" thickBot="1">
      <c r="A140" s="83"/>
      <c r="B140" s="22" t="s">
        <v>6</v>
      </c>
      <c r="C140" s="84">
        <f aca="true" t="shared" si="22" ref="C140:AD140">SUM(C136:C139)</f>
        <v>15</v>
      </c>
      <c r="D140" s="84">
        <f t="shared" si="22"/>
        <v>0</v>
      </c>
      <c r="E140" s="84">
        <f t="shared" si="22"/>
        <v>0</v>
      </c>
      <c r="F140" s="84">
        <f t="shared" si="22"/>
        <v>0</v>
      </c>
      <c r="G140" s="84">
        <f t="shared" si="22"/>
        <v>24</v>
      </c>
      <c r="H140" s="84">
        <f t="shared" si="22"/>
        <v>0</v>
      </c>
      <c r="I140" s="84">
        <f t="shared" si="22"/>
        <v>0</v>
      </c>
      <c r="J140" s="84">
        <f t="shared" si="22"/>
        <v>0</v>
      </c>
      <c r="K140" s="84">
        <f t="shared" si="22"/>
        <v>0</v>
      </c>
      <c r="L140" s="84">
        <f t="shared" si="22"/>
        <v>85</v>
      </c>
      <c r="M140" s="84">
        <f t="shared" si="22"/>
        <v>0</v>
      </c>
      <c r="N140" s="84">
        <f t="shared" si="22"/>
        <v>0</v>
      </c>
      <c r="O140" s="84">
        <f t="shared" si="22"/>
        <v>14</v>
      </c>
      <c r="P140" s="84">
        <f t="shared" si="22"/>
        <v>2</v>
      </c>
      <c r="Q140" s="84">
        <f t="shared" si="22"/>
        <v>0</v>
      </c>
      <c r="R140" s="84">
        <f t="shared" si="22"/>
        <v>0</v>
      </c>
      <c r="S140" s="84">
        <f t="shared" si="22"/>
        <v>102</v>
      </c>
      <c r="T140" s="84">
        <f t="shared" si="22"/>
        <v>0</v>
      </c>
      <c r="U140" s="84">
        <f t="shared" si="22"/>
        <v>0</v>
      </c>
      <c r="V140" s="84">
        <f t="shared" si="22"/>
        <v>0</v>
      </c>
      <c r="W140" s="84">
        <f t="shared" si="22"/>
        <v>0</v>
      </c>
      <c r="X140" s="84">
        <f t="shared" si="22"/>
        <v>0</v>
      </c>
      <c r="Y140" s="84">
        <f t="shared" si="22"/>
        <v>0</v>
      </c>
      <c r="Z140" s="84">
        <f t="shared" si="22"/>
        <v>0</v>
      </c>
      <c r="AA140" s="84">
        <f t="shared" si="22"/>
        <v>0.48</v>
      </c>
      <c r="AB140" s="84">
        <f t="shared" si="22"/>
        <v>0</v>
      </c>
      <c r="AC140" s="88">
        <f t="shared" si="22"/>
        <v>0</v>
      </c>
      <c r="AD140" s="84">
        <f t="shared" si="22"/>
        <v>0</v>
      </c>
    </row>
    <row r="141" spans="1:30" ht="194.25" thickBot="1">
      <c r="A141" s="145"/>
      <c r="B141" s="22" t="s">
        <v>148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8"/>
      <c r="AD141" s="84"/>
    </row>
    <row r="142" spans="1:30" ht="65.25" thickBot="1">
      <c r="A142" s="83"/>
      <c r="B142" s="93" t="s">
        <v>10</v>
      </c>
      <c r="C142" s="84">
        <f aca="true" t="shared" si="23" ref="C142:AD142">C118+C121+C130+C134+C140</f>
        <v>75</v>
      </c>
      <c r="D142" s="84">
        <f t="shared" si="23"/>
        <v>40</v>
      </c>
      <c r="E142" s="84">
        <f t="shared" si="23"/>
        <v>28.8</v>
      </c>
      <c r="F142" s="84">
        <f t="shared" si="23"/>
        <v>0</v>
      </c>
      <c r="G142" s="84">
        <f t="shared" si="23"/>
        <v>24</v>
      </c>
      <c r="H142" s="84">
        <f t="shared" si="23"/>
        <v>13</v>
      </c>
      <c r="I142" s="84">
        <f t="shared" si="23"/>
        <v>160</v>
      </c>
      <c r="J142" s="84">
        <f t="shared" si="23"/>
        <v>80</v>
      </c>
      <c r="K142" s="84">
        <f t="shared" si="23"/>
        <v>100</v>
      </c>
      <c r="L142" s="84">
        <f t="shared" si="23"/>
        <v>85</v>
      </c>
      <c r="M142" s="84">
        <f t="shared" si="23"/>
        <v>15</v>
      </c>
      <c r="N142" s="84">
        <f t="shared" si="23"/>
        <v>0</v>
      </c>
      <c r="O142" s="84">
        <f t="shared" si="23"/>
        <v>37.7</v>
      </c>
      <c r="P142" s="84">
        <f t="shared" si="23"/>
        <v>13.4</v>
      </c>
      <c r="Q142" s="84">
        <f t="shared" si="23"/>
        <v>12.9</v>
      </c>
      <c r="R142" s="84">
        <f t="shared" si="23"/>
        <v>33.8</v>
      </c>
      <c r="S142" s="84">
        <f t="shared" si="23"/>
        <v>481</v>
      </c>
      <c r="T142" s="84">
        <f t="shared" si="23"/>
        <v>0</v>
      </c>
      <c r="U142" s="84">
        <f t="shared" si="23"/>
        <v>0</v>
      </c>
      <c r="V142" s="84">
        <f t="shared" si="23"/>
        <v>0</v>
      </c>
      <c r="W142" s="84">
        <f t="shared" si="23"/>
        <v>19</v>
      </c>
      <c r="X142" s="84">
        <f t="shared" si="23"/>
        <v>53</v>
      </c>
      <c r="Y142" s="84">
        <f t="shared" si="23"/>
        <v>0</v>
      </c>
      <c r="Z142" s="84">
        <f t="shared" si="23"/>
        <v>0</v>
      </c>
      <c r="AA142" s="84">
        <f t="shared" si="23"/>
        <v>0.48</v>
      </c>
      <c r="AB142" s="84">
        <f t="shared" si="23"/>
        <v>2</v>
      </c>
      <c r="AC142" s="88">
        <f t="shared" si="23"/>
        <v>0</v>
      </c>
      <c r="AD142" s="84">
        <f t="shared" si="23"/>
        <v>1</v>
      </c>
    </row>
    <row r="143" spans="1:30" ht="65.25" thickBot="1">
      <c r="A143" s="150" t="s">
        <v>62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2"/>
    </row>
    <row r="144" spans="1:30" ht="65.25" thickBot="1">
      <c r="A144" s="150" t="s">
        <v>16</v>
      </c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2"/>
    </row>
    <row r="145" spans="1:30" ht="45.75" customHeight="1">
      <c r="A145" s="166" t="s">
        <v>30</v>
      </c>
      <c r="B145" s="168" t="s">
        <v>23</v>
      </c>
      <c r="C145" s="153" t="s">
        <v>116</v>
      </c>
      <c r="D145" s="153" t="s">
        <v>117</v>
      </c>
      <c r="E145" s="153" t="s">
        <v>118</v>
      </c>
      <c r="F145" s="153" t="s">
        <v>119</v>
      </c>
      <c r="G145" s="153" t="s">
        <v>120</v>
      </c>
      <c r="H145" s="153" t="s">
        <v>121</v>
      </c>
      <c r="I145" s="153" t="s">
        <v>110</v>
      </c>
      <c r="J145" s="153" t="s">
        <v>257</v>
      </c>
      <c r="K145" s="140"/>
      <c r="L145" s="153" t="s">
        <v>142</v>
      </c>
      <c r="M145" s="153" t="s">
        <v>79</v>
      </c>
      <c r="N145" s="153" t="s">
        <v>123</v>
      </c>
      <c r="O145" s="153" t="s">
        <v>80</v>
      </c>
      <c r="P145" s="153" t="s">
        <v>124</v>
      </c>
      <c r="Q145" s="153" t="s">
        <v>81</v>
      </c>
      <c r="R145" s="153" t="s">
        <v>125</v>
      </c>
      <c r="S145" s="153" t="s">
        <v>126</v>
      </c>
      <c r="T145" s="153" t="s">
        <v>127</v>
      </c>
      <c r="U145" s="140"/>
      <c r="V145" s="153" t="s">
        <v>113</v>
      </c>
      <c r="W145" s="153" t="s">
        <v>129</v>
      </c>
      <c r="X145" s="153" t="s">
        <v>84</v>
      </c>
      <c r="Y145" s="153" t="s">
        <v>82</v>
      </c>
      <c r="Z145" s="153" t="s">
        <v>83</v>
      </c>
      <c r="AA145" s="153" t="s">
        <v>85</v>
      </c>
      <c r="AB145" s="140"/>
      <c r="AC145" s="158" t="s">
        <v>78</v>
      </c>
      <c r="AD145" s="153" t="s">
        <v>138</v>
      </c>
    </row>
    <row r="146" spans="1:30" ht="409.5" customHeight="1" thickBot="1">
      <c r="A146" s="167"/>
      <c r="B146" s="169"/>
      <c r="C146" s="154"/>
      <c r="D146" s="154"/>
      <c r="E146" s="154"/>
      <c r="F146" s="154"/>
      <c r="G146" s="154"/>
      <c r="H146" s="154"/>
      <c r="I146" s="154"/>
      <c r="J146" s="154"/>
      <c r="K146" s="141" t="s">
        <v>122</v>
      </c>
      <c r="L146" s="154"/>
      <c r="M146" s="154"/>
      <c r="N146" s="154"/>
      <c r="O146" s="154"/>
      <c r="P146" s="154"/>
      <c r="Q146" s="154"/>
      <c r="R146" s="154"/>
      <c r="S146" s="154"/>
      <c r="T146" s="154"/>
      <c r="U146" s="141" t="s">
        <v>128</v>
      </c>
      <c r="V146" s="154"/>
      <c r="W146" s="154"/>
      <c r="X146" s="154"/>
      <c r="Y146" s="154"/>
      <c r="Z146" s="154"/>
      <c r="AA146" s="154"/>
      <c r="AB146" s="141" t="s">
        <v>77</v>
      </c>
      <c r="AC146" s="159"/>
      <c r="AD146" s="154"/>
    </row>
    <row r="147" spans="1:30" ht="65.25" thickBot="1">
      <c r="A147" s="145">
        <v>1</v>
      </c>
      <c r="B147" s="79">
        <v>2</v>
      </c>
      <c r="C147" s="80" t="s">
        <v>54</v>
      </c>
      <c r="D147" s="81">
        <v>4</v>
      </c>
      <c r="E147" s="80">
        <v>5</v>
      </c>
      <c r="F147" s="80">
        <v>6</v>
      </c>
      <c r="G147" s="80">
        <v>7</v>
      </c>
      <c r="H147" s="80">
        <v>8</v>
      </c>
      <c r="I147" s="80" t="s">
        <v>55</v>
      </c>
      <c r="J147" s="81">
        <v>10</v>
      </c>
      <c r="K147" s="80">
        <v>11</v>
      </c>
      <c r="L147" s="80">
        <v>12</v>
      </c>
      <c r="M147" s="80">
        <v>13</v>
      </c>
      <c r="N147" s="80">
        <v>14</v>
      </c>
      <c r="O147" s="80">
        <v>15</v>
      </c>
      <c r="P147" s="143">
        <v>16</v>
      </c>
      <c r="Q147" s="80">
        <v>17</v>
      </c>
      <c r="R147" s="143">
        <v>18</v>
      </c>
      <c r="S147" s="80">
        <v>19</v>
      </c>
      <c r="T147" s="143">
        <v>20</v>
      </c>
      <c r="U147" s="143">
        <v>21</v>
      </c>
      <c r="V147" s="80">
        <v>22</v>
      </c>
      <c r="W147" s="80">
        <v>23</v>
      </c>
      <c r="X147" s="143">
        <v>24</v>
      </c>
      <c r="Y147" s="80">
        <v>25</v>
      </c>
      <c r="Z147" s="80">
        <v>26</v>
      </c>
      <c r="AA147" s="80">
        <v>27</v>
      </c>
      <c r="AB147" s="143">
        <v>28</v>
      </c>
      <c r="AC147" s="142">
        <v>29</v>
      </c>
      <c r="AD147" s="80">
        <v>31</v>
      </c>
    </row>
    <row r="148" spans="1:30" s="82" customFormat="1" ht="65.25" thickBot="1">
      <c r="A148" s="150" t="s">
        <v>5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2"/>
    </row>
    <row r="149" spans="1:30" ht="194.25" thickBot="1">
      <c r="A149" s="84">
        <v>84</v>
      </c>
      <c r="B149" s="25" t="s">
        <v>204</v>
      </c>
      <c r="C149" s="84"/>
      <c r="D149" s="85"/>
      <c r="E149" s="85"/>
      <c r="F149" s="85"/>
      <c r="G149" s="85">
        <v>15</v>
      </c>
      <c r="H149" s="86"/>
      <c r="I149" s="86"/>
      <c r="J149" s="86"/>
      <c r="K149" s="86"/>
      <c r="L149" s="86"/>
      <c r="M149" s="86"/>
      <c r="N149" s="86"/>
      <c r="O149" s="86">
        <v>4</v>
      </c>
      <c r="P149" s="86">
        <v>2</v>
      </c>
      <c r="Q149" s="86"/>
      <c r="R149" s="86"/>
      <c r="S149" s="86">
        <v>113</v>
      </c>
      <c r="T149" s="87"/>
      <c r="U149" s="84"/>
      <c r="V149" s="87"/>
      <c r="W149" s="84"/>
      <c r="X149" s="86"/>
      <c r="Y149" s="86"/>
      <c r="Z149" s="86"/>
      <c r="AA149" s="86"/>
      <c r="AB149" s="86"/>
      <c r="AC149" s="87"/>
      <c r="AD149" s="83"/>
    </row>
    <row r="150" spans="1:30" ht="65.25" thickBot="1">
      <c r="A150" s="84">
        <v>15</v>
      </c>
      <c r="B150" s="23" t="s">
        <v>224</v>
      </c>
      <c r="C150" s="84"/>
      <c r="D150" s="85"/>
      <c r="E150" s="85"/>
      <c r="F150" s="85"/>
      <c r="G150" s="85"/>
      <c r="H150" s="86"/>
      <c r="I150" s="86"/>
      <c r="J150" s="86"/>
      <c r="K150" s="86"/>
      <c r="L150" s="86"/>
      <c r="M150" s="86"/>
      <c r="N150" s="87"/>
      <c r="O150" s="84">
        <v>8</v>
      </c>
      <c r="P150" s="87"/>
      <c r="Q150" s="84"/>
      <c r="R150" s="87"/>
      <c r="S150" s="84">
        <v>90</v>
      </c>
      <c r="T150" s="84"/>
      <c r="U150" s="87"/>
      <c r="V150" s="84"/>
      <c r="W150" s="87"/>
      <c r="X150" s="84"/>
      <c r="Y150" s="84"/>
      <c r="Z150" s="87"/>
      <c r="AA150" s="84"/>
      <c r="AB150" s="84"/>
      <c r="AC150" s="90">
        <v>1.1</v>
      </c>
      <c r="AD150" s="83"/>
    </row>
    <row r="151" spans="1:30" ht="129.75" thickBot="1">
      <c r="A151" s="83">
        <v>3</v>
      </c>
      <c r="B151" s="22" t="s">
        <v>38</v>
      </c>
      <c r="C151" s="86">
        <v>20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3"/>
      <c r="O151" s="87"/>
      <c r="P151" s="84">
        <v>5</v>
      </c>
      <c r="Q151" s="87"/>
      <c r="R151" s="83"/>
      <c r="S151" s="87"/>
      <c r="T151" s="90"/>
      <c r="U151" s="83"/>
      <c r="V151" s="84"/>
      <c r="W151" s="87"/>
      <c r="X151" s="83"/>
      <c r="Y151" s="87"/>
      <c r="Z151" s="83">
        <v>9</v>
      </c>
      <c r="AA151" s="87"/>
      <c r="AB151" s="83"/>
      <c r="AC151" s="87"/>
      <c r="AD151" s="83"/>
    </row>
    <row r="152" spans="1:30" ht="65.25" thickBot="1">
      <c r="A152" s="83"/>
      <c r="B152" s="22" t="s">
        <v>6</v>
      </c>
      <c r="C152" s="84">
        <f>C149+C150+C151</f>
        <v>20</v>
      </c>
      <c r="D152" s="84">
        <f aca="true" t="shared" si="24" ref="D152:AD152">D149+D150+D151</f>
        <v>0</v>
      </c>
      <c r="E152" s="84">
        <f t="shared" si="24"/>
        <v>0</v>
      </c>
      <c r="F152" s="84">
        <f t="shared" si="24"/>
        <v>0</v>
      </c>
      <c r="G152" s="84">
        <f t="shared" si="24"/>
        <v>15</v>
      </c>
      <c r="H152" s="84">
        <f t="shared" si="24"/>
        <v>0</v>
      </c>
      <c r="I152" s="84">
        <f t="shared" si="24"/>
        <v>0</v>
      </c>
      <c r="J152" s="84">
        <f t="shared" si="24"/>
        <v>0</v>
      </c>
      <c r="K152" s="84">
        <f t="shared" si="24"/>
        <v>0</v>
      </c>
      <c r="L152" s="84">
        <f t="shared" si="24"/>
        <v>0</v>
      </c>
      <c r="M152" s="84">
        <f t="shared" si="24"/>
        <v>0</v>
      </c>
      <c r="N152" s="84">
        <f t="shared" si="24"/>
        <v>0</v>
      </c>
      <c r="O152" s="84">
        <f t="shared" si="24"/>
        <v>12</v>
      </c>
      <c r="P152" s="84">
        <f t="shared" si="24"/>
        <v>7</v>
      </c>
      <c r="Q152" s="84">
        <f t="shared" si="24"/>
        <v>0</v>
      </c>
      <c r="R152" s="84">
        <f t="shared" si="24"/>
        <v>0</v>
      </c>
      <c r="S152" s="84">
        <f t="shared" si="24"/>
        <v>203</v>
      </c>
      <c r="T152" s="84">
        <f t="shared" si="24"/>
        <v>0</v>
      </c>
      <c r="U152" s="84">
        <f t="shared" si="24"/>
        <v>0</v>
      </c>
      <c r="V152" s="84">
        <f t="shared" si="24"/>
        <v>0</v>
      </c>
      <c r="W152" s="84">
        <f t="shared" si="24"/>
        <v>0</v>
      </c>
      <c r="X152" s="84">
        <f t="shared" si="24"/>
        <v>0</v>
      </c>
      <c r="Y152" s="84">
        <f t="shared" si="24"/>
        <v>0</v>
      </c>
      <c r="Z152" s="84">
        <f t="shared" si="24"/>
        <v>9</v>
      </c>
      <c r="AA152" s="84">
        <f t="shared" si="24"/>
        <v>0</v>
      </c>
      <c r="AB152" s="84">
        <f t="shared" si="24"/>
        <v>0</v>
      </c>
      <c r="AC152" s="84">
        <f t="shared" si="24"/>
        <v>1.1</v>
      </c>
      <c r="AD152" s="84">
        <f t="shared" si="24"/>
        <v>0</v>
      </c>
    </row>
    <row r="153" spans="1:30" ht="65.25" thickBot="1">
      <c r="A153" s="155" t="s">
        <v>53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7"/>
    </row>
    <row r="154" spans="1:30" ht="65.25" thickBot="1">
      <c r="A154" s="83" t="s">
        <v>32</v>
      </c>
      <c r="B154" s="25" t="s">
        <v>182</v>
      </c>
      <c r="C154" s="84"/>
      <c r="D154" s="86"/>
      <c r="E154" s="86"/>
      <c r="F154" s="86"/>
      <c r="G154" s="86"/>
      <c r="H154" s="86"/>
      <c r="I154" s="86"/>
      <c r="J154" s="86"/>
      <c r="K154" s="86">
        <v>100</v>
      </c>
      <c r="L154" s="86"/>
      <c r="M154" s="86"/>
      <c r="N154" s="87"/>
      <c r="O154" s="84"/>
      <c r="P154" s="87"/>
      <c r="Q154" s="84"/>
      <c r="R154" s="87"/>
      <c r="S154" s="84"/>
      <c r="T154" s="87"/>
      <c r="U154" s="84"/>
      <c r="V154" s="84"/>
      <c r="W154" s="87"/>
      <c r="X154" s="84"/>
      <c r="Y154" s="84"/>
      <c r="Z154" s="87"/>
      <c r="AA154" s="84"/>
      <c r="AB154" s="87"/>
      <c r="AC154" s="88"/>
      <c r="AD154" s="83"/>
    </row>
    <row r="155" spans="1:30" ht="65.25" thickBot="1">
      <c r="A155" s="83"/>
      <c r="B155" s="22" t="s">
        <v>29</v>
      </c>
      <c r="C155" s="86">
        <f>SUM(C154)</f>
        <v>0</v>
      </c>
      <c r="D155" s="86">
        <f>SUM(D154)</f>
        <v>0</v>
      </c>
      <c r="E155" s="86">
        <f aca="true" t="shared" si="25" ref="E155:AC155">SUM(E154)</f>
        <v>0</v>
      </c>
      <c r="F155" s="86">
        <f t="shared" si="25"/>
        <v>0</v>
      </c>
      <c r="G155" s="86">
        <f t="shared" si="25"/>
        <v>0</v>
      </c>
      <c r="H155" s="86">
        <f t="shared" si="25"/>
        <v>0</v>
      </c>
      <c r="I155" s="86">
        <f t="shared" si="25"/>
        <v>0</v>
      </c>
      <c r="J155" s="86">
        <f t="shared" si="25"/>
        <v>0</v>
      </c>
      <c r="K155" s="86">
        <f t="shared" si="25"/>
        <v>100</v>
      </c>
      <c r="L155" s="86">
        <f t="shared" si="25"/>
        <v>0</v>
      </c>
      <c r="M155" s="86">
        <f t="shared" si="25"/>
        <v>0</v>
      </c>
      <c r="N155" s="86">
        <f t="shared" si="25"/>
        <v>0</v>
      </c>
      <c r="O155" s="86">
        <f t="shared" si="25"/>
        <v>0</v>
      </c>
      <c r="P155" s="86">
        <f t="shared" si="25"/>
        <v>0</v>
      </c>
      <c r="Q155" s="86">
        <f t="shared" si="25"/>
        <v>0</v>
      </c>
      <c r="R155" s="86">
        <f t="shared" si="25"/>
        <v>0</v>
      </c>
      <c r="S155" s="86">
        <f t="shared" si="25"/>
        <v>0</v>
      </c>
      <c r="T155" s="86">
        <f t="shared" si="25"/>
        <v>0</v>
      </c>
      <c r="U155" s="86">
        <f t="shared" si="25"/>
        <v>0</v>
      </c>
      <c r="V155" s="86">
        <f t="shared" si="25"/>
        <v>0</v>
      </c>
      <c r="W155" s="86">
        <f t="shared" si="25"/>
        <v>0</v>
      </c>
      <c r="X155" s="86">
        <f t="shared" si="25"/>
        <v>0</v>
      </c>
      <c r="Y155" s="86">
        <f t="shared" si="25"/>
        <v>0</v>
      </c>
      <c r="Z155" s="86">
        <f t="shared" si="25"/>
        <v>0</v>
      </c>
      <c r="AA155" s="86">
        <f t="shared" si="25"/>
        <v>0</v>
      </c>
      <c r="AB155" s="86">
        <f t="shared" si="25"/>
        <v>0</v>
      </c>
      <c r="AC155" s="87">
        <f t="shared" si="25"/>
        <v>0</v>
      </c>
      <c r="AD155" s="83">
        <f>SUM(AD154)</f>
        <v>0</v>
      </c>
    </row>
    <row r="156" spans="1:30" ht="65.25" thickBot="1">
      <c r="A156" s="155" t="s">
        <v>31</v>
      </c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7"/>
    </row>
    <row r="157" spans="1:36" ht="65.25" thickBot="1">
      <c r="A157" s="84">
        <v>51</v>
      </c>
      <c r="B157" s="22" t="s">
        <v>226</v>
      </c>
      <c r="C157" s="84"/>
      <c r="D157" s="86"/>
      <c r="E157" s="86"/>
      <c r="F157" s="86"/>
      <c r="G157" s="86"/>
      <c r="H157" s="86"/>
      <c r="I157" s="86"/>
      <c r="J157" s="86">
        <v>28.8</v>
      </c>
      <c r="K157" s="86"/>
      <c r="L157" s="86"/>
      <c r="M157" s="86"/>
      <c r="N157" s="87"/>
      <c r="O157" s="83"/>
      <c r="P157" s="87"/>
      <c r="Q157" s="83">
        <v>3</v>
      </c>
      <c r="R157" s="87"/>
      <c r="S157" s="83"/>
      <c r="T157" s="87"/>
      <c r="U157" s="84"/>
      <c r="V157" s="83"/>
      <c r="W157" s="87"/>
      <c r="X157" s="84"/>
      <c r="Y157" s="83"/>
      <c r="Z157" s="87"/>
      <c r="AA157" s="83"/>
      <c r="AB157" s="84"/>
      <c r="AC157" s="87"/>
      <c r="AD157" s="83"/>
      <c r="AE157" s="100"/>
      <c r="AF157" s="92"/>
      <c r="AG157" s="100"/>
      <c r="AH157" s="92"/>
      <c r="AI157" s="92"/>
      <c r="AJ157" s="101"/>
    </row>
    <row r="158" spans="1:36" ht="194.25" thickBot="1">
      <c r="A158" s="83">
        <v>25</v>
      </c>
      <c r="B158" s="22" t="s">
        <v>39</v>
      </c>
      <c r="C158" s="84"/>
      <c r="D158" s="86"/>
      <c r="E158" s="86"/>
      <c r="F158" s="86"/>
      <c r="G158" s="86">
        <v>3</v>
      </c>
      <c r="H158" s="86"/>
      <c r="I158" s="86">
        <v>45</v>
      </c>
      <c r="J158" s="86">
        <v>21.2</v>
      </c>
      <c r="K158" s="86"/>
      <c r="L158" s="86"/>
      <c r="M158" s="86"/>
      <c r="N158" s="83"/>
      <c r="O158" s="87"/>
      <c r="P158" s="83">
        <v>2</v>
      </c>
      <c r="Q158" s="87"/>
      <c r="R158" s="83"/>
      <c r="S158" s="87"/>
      <c r="T158" s="83"/>
      <c r="U158" s="87"/>
      <c r="V158" s="83">
        <v>10</v>
      </c>
      <c r="W158" s="87"/>
      <c r="X158" s="83"/>
      <c r="Y158" s="84">
        <v>7</v>
      </c>
      <c r="Z158" s="83"/>
      <c r="AA158" s="83"/>
      <c r="AB158" s="87"/>
      <c r="AC158" s="90"/>
      <c r="AD158" s="83"/>
      <c r="AE158" s="102"/>
      <c r="AF158" s="102"/>
      <c r="AG158" s="102"/>
      <c r="AH158" s="102"/>
      <c r="AI158" s="102"/>
      <c r="AJ158" s="102"/>
    </row>
    <row r="159" spans="1:36" ht="129.75" thickBot="1">
      <c r="A159" s="83">
        <v>81</v>
      </c>
      <c r="B159" s="22" t="s">
        <v>209</v>
      </c>
      <c r="C159" s="84"/>
      <c r="D159" s="86"/>
      <c r="E159" s="86">
        <v>1.5</v>
      </c>
      <c r="F159" s="86"/>
      <c r="G159" s="86"/>
      <c r="H159" s="86"/>
      <c r="I159" s="86"/>
      <c r="J159" s="86">
        <v>169.5</v>
      </c>
      <c r="K159" s="86"/>
      <c r="L159" s="86"/>
      <c r="M159" s="86"/>
      <c r="N159" s="86"/>
      <c r="O159" s="86">
        <v>3.5</v>
      </c>
      <c r="P159" s="86"/>
      <c r="Q159" s="86">
        <v>3.5</v>
      </c>
      <c r="R159" s="86"/>
      <c r="S159" s="86"/>
      <c r="T159" s="86"/>
      <c r="U159" s="86"/>
      <c r="V159" s="86">
        <v>89</v>
      </c>
      <c r="W159" s="86"/>
      <c r="X159" s="86"/>
      <c r="Y159" s="86"/>
      <c r="Z159" s="86"/>
      <c r="AA159" s="86"/>
      <c r="AB159" s="86"/>
      <c r="AC159" s="87"/>
      <c r="AD159" s="83"/>
      <c r="AE159" s="102"/>
      <c r="AF159" s="102"/>
      <c r="AG159" s="102"/>
      <c r="AH159" s="102"/>
      <c r="AI159" s="102"/>
      <c r="AJ159" s="102"/>
    </row>
    <row r="160" spans="1:30" ht="65.25" thickBot="1">
      <c r="A160" s="99">
        <v>66</v>
      </c>
      <c r="B160" s="27" t="s">
        <v>146</v>
      </c>
      <c r="C160" s="83"/>
      <c r="D160" s="86"/>
      <c r="E160" s="83"/>
      <c r="F160" s="83"/>
      <c r="G160" s="83"/>
      <c r="H160" s="86"/>
      <c r="I160" s="86"/>
      <c r="J160" s="86"/>
      <c r="K160" s="86"/>
      <c r="L160" s="86"/>
      <c r="M160" s="86">
        <v>15</v>
      </c>
      <c r="N160" s="87"/>
      <c r="O160" s="84">
        <v>9</v>
      </c>
      <c r="P160" s="87"/>
      <c r="Q160" s="84"/>
      <c r="R160" s="87"/>
      <c r="S160" s="84"/>
      <c r="T160" s="87"/>
      <c r="U160" s="84"/>
      <c r="V160" s="84"/>
      <c r="W160" s="87"/>
      <c r="X160" s="84"/>
      <c r="Y160" s="84"/>
      <c r="Z160" s="87"/>
      <c r="AA160" s="84"/>
      <c r="AB160" s="84"/>
      <c r="AC160" s="88"/>
      <c r="AD160" s="83"/>
    </row>
    <row r="161" spans="1:30" ht="129.75" thickBot="1">
      <c r="A161" s="83" t="s">
        <v>32</v>
      </c>
      <c r="B161" s="22" t="s">
        <v>56</v>
      </c>
      <c r="C161" s="84">
        <v>20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7"/>
      <c r="U161" s="83"/>
      <c r="V161" s="86"/>
      <c r="W161" s="87"/>
      <c r="X161" s="83"/>
      <c r="Y161" s="86"/>
      <c r="Z161" s="86"/>
      <c r="AA161" s="86"/>
      <c r="AB161" s="86"/>
      <c r="AC161" s="87"/>
      <c r="AD161" s="83"/>
    </row>
    <row r="162" spans="1:30" ht="129.75" thickBot="1">
      <c r="A162" s="83" t="s">
        <v>32</v>
      </c>
      <c r="B162" s="22" t="s">
        <v>58</v>
      </c>
      <c r="C162" s="84"/>
      <c r="D162" s="86">
        <v>40</v>
      </c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7"/>
      <c r="AD162" s="83"/>
    </row>
    <row r="163" spans="1:30" ht="65.25" thickBot="1">
      <c r="A163" s="83"/>
      <c r="B163" s="22" t="s">
        <v>6</v>
      </c>
      <c r="C163" s="84">
        <f aca="true" t="shared" si="26" ref="C163:AD163">SUM(C157:C162)</f>
        <v>20</v>
      </c>
      <c r="D163" s="84">
        <f t="shared" si="26"/>
        <v>40</v>
      </c>
      <c r="E163" s="84">
        <f t="shared" si="26"/>
        <v>1.5</v>
      </c>
      <c r="F163" s="84">
        <f t="shared" si="26"/>
        <v>0</v>
      </c>
      <c r="G163" s="84">
        <f t="shared" si="26"/>
        <v>3</v>
      </c>
      <c r="H163" s="84">
        <f t="shared" si="26"/>
        <v>0</v>
      </c>
      <c r="I163" s="84">
        <f t="shared" si="26"/>
        <v>45</v>
      </c>
      <c r="J163" s="84">
        <f t="shared" si="26"/>
        <v>219.5</v>
      </c>
      <c r="K163" s="84">
        <f t="shared" si="26"/>
        <v>0</v>
      </c>
      <c r="L163" s="84">
        <f t="shared" si="26"/>
        <v>0</v>
      </c>
      <c r="M163" s="84">
        <f t="shared" si="26"/>
        <v>15</v>
      </c>
      <c r="N163" s="84">
        <f t="shared" si="26"/>
        <v>0</v>
      </c>
      <c r="O163" s="84">
        <f t="shared" si="26"/>
        <v>12.5</v>
      </c>
      <c r="P163" s="84">
        <f t="shared" si="26"/>
        <v>2</v>
      </c>
      <c r="Q163" s="84">
        <f t="shared" si="26"/>
        <v>6.5</v>
      </c>
      <c r="R163" s="84">
        <f t="shared" si="26"/>
        <v>0</v>
      </c>
      <c r="S163" s="84">
        <f t="shared" si="26"/>
        <v>0</v>
      </c>
      <c r="T163" s="84">
        <f t="shared" si="26"/>
        <v>0</v>
      </c>
      <c r="U163" s="84">
        <f t="shared" si="26"/>
        <v>0</v>
      </c>
      <c r="V163" s="84">
        <f t="shared" si="26"/>
        <v>99</v>
      </c>
      <c r="W163" s="84">
        <f t="shared" si="26"/>
        <v>0</v>
      </c>
      <c r="X163" s="84">
        <f t="shared" si="26"/>
        <v>0</v>
      </c>
      <c r="Y163" s="84">
        <f t="shared" si="26"/>
        <v>7</v>
      </c>
      <c r="Z163" s="84">
        <f t="shared" si="26"/>
        <v>0</v>
      </c>
      <c r="AA163" s="84">
        <f t="shared" si="26"/>
        <v>0</v>
      </c>
      <c r="AB163" s="84">
        <f t="shared" si="26"/>
        <v>0</v>
      </c>
      <c r="AC163" s="88">
        <f t="shared" si="26"/>
        <v>0</v>
      </c>
      <c r="AD163" s="84">
        <f t="shared" si="26"/>
        <v>0</v>
      </c>
    </row>
    <row r="164" spans="1:30" ht="65.25" thickBot="1">
      <c r="A164" s="150" t="s">
        <v>145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2"/>
    </row>
    <row r="165" spans="1:30" ht="194.25" thickBot="1">
      <c r="A165" s="92">
        <v>21.1</v>
      </c>
      <c r="B165" s="27" t="s">
        <v>172</v>
      </c>
      <c r="C165" s="83"/>
      <c r="D165" s="86"/>
      <c r="E165" s="83"/>
      <c r="F165" s="83"/>
      <c r="G165" s="83"/>
      <c r="H165" s="86"/>
      <c r="I165" s="86"/>
      <c r="J165" s="86"/>
      <c r="K165" s="86"/>
      <c r="L165" s="86"/>
      <c r="M165" s="86"/>
      <c r="N165" s="87"/>
      <c r="O165" s="84"/>
      <c r="P165" s="87"/>
      <c r="Q165" s="84"/>
      <c r="R165" s="87"/>
      <c r="S165" s="84">
        <v>155</v>
      </c>
      <c r="T165" s="87"/>
      <c r="U165" s="84"/>
      <c r="V165" s="84"/>
      <c r="W165" s="87"/>
      <c r="X165" s="84"/>
      <c r="Y165" s="84"/>
      <c r="Z165" s="87"/>
      <c r="AA165" s="84"/>
      <c r="AB165" s="84"/>
      <c r="AC165" s="88"/>
      <c r="AD165" s="83"/>
    </row>
    <row r="166" spans="1:30" ht="323.25" thickBot="1">
      <c r="A166" s="94" t="s">
        <v>263</v>
      </c>
      <c r="B166" s="75" t="s">
        <v>272</v>
      </c>
      <c r="C166" s="95"/>
      <c r="D166" s="106"/>
      <c r="E166" s="106">
        <v>41.7</v>
      </c>
      <c r="F166" s="106"/>
      <c r="G166" s="106"/>
      <c r="H166" s="96"/>
      <c r="I166" s="96"/>
      <c r="J166" s="96"/>
      <c r="K166" s="96"/>
      <c r="L166" s="96"/>
      <c r="M166" s="96"/>
      <c r="N166" s="96"/>
      <c r="O166" s="96">
        <v>8.7</v>
      </c>
      <c r="P166" s="96">
        <v>6</v>
      </c>
      <c r="Q166" s="96">
        <v>0.9</v>
      </c>
      <c r="R166" s="96">
        <v>4.8</v>
      </c>
      <c r="S166" s="96">
        <v>17</v>
      </c>
      <c r="T166" s="96"/>
      <c r="U166" s="96"/>
      <c r="V166" s="96"/>
      <c r="W166" s="96"/>
      <c r="X166" s="96"/>
      <c r="Y166" s="96"/>
      <c r="Z166" s="96"/>
      <c r="AA166" s="96"/>
      <c r="AB166" s="96"/>
      <c r="AC166" s="97"/>
      <c r="AD166" s="84">
        <v>1</v>
      </c>
    </row>
    <row r="167" spans="1:30" ht="65.25" thickBot="1">
      <c r="A167" s="84"/>
      <c r="B167" s="25" t="s">
        <v>29</v>
      </c>
      <c r="C167" s="84">
        <f>C165+C166</f>
        <v>0</v>
      </c>
      <c r="D167" s="84">
        <f aca="true" t="shared" si="27" ref="D167:AD167">D165+D166</f>
        <v>0</v>
      </c>
      <c r="E167" s="84">
        <f t="shared" si="27"/>
        <v>41.7</v>
      </c>
      <c r="F167" s="84">
        <f t="shared" si="27"/>
        <v>0</v>
      </c>
      <c r="G167" s="84">
        <f t="shared" si="27"/>
        <v>0</v>
      </c>
      <c r="H167" s="84">
        <f t="shared" si="27"/>
        <v>0</v>
      </c>
      <c r="I167" s="84">
        <f t="shared" si="27"/>
        <v>0</v>
      </c>
      <c r="J167" s="84">
        <f t="shared" si="27"/>
        <v>0</v>
      </c>
      <c r="K167" s="84">
        <f t="shared" si="27"/>
        <v>0</v>
      </c>
      <c r="L167" s="84">
        <f t="shared" si="27"/>
        <v>0</v>
      </c>
      <c r="M167" s="84">
        <f t="shared" si="27"/>
        <v>0</v>
      </c>
      <c r="N167" s="84">
        <f t="shared" si="27"/>
        <v>0</v>
      </c>
      <c r="O167" s="84">
        <f t="shared" si="27"/>
        <v>8.7</v>
      </c>
      <c r="P167" s="84">
        <f t="shared" si="27"/>
        <v>6</v>
      </c>
      <c r="Q167" s="84">
        <f t="shared" si="27"/>
        <v>0.9</v>
      </c>
      <c r="R167" s="84">
        <f t="shared" si="27"/>
        <v>4.8</v>
      </c>
      <c r="S167" s="84">
        <f t="shared" si="27"/>
        <v>172</v>
      </c>
      <c r="T167" s="84">
        <f t="shared" si="27"/>
        <v>0</v>
      </c>
      <c r="U167" s="84">
        <f t="shared" si="27"/>
        <v>0</v>
      </c>
      <c r="V167" s="84">
        <f t="shared" si="27"/>
        <v>0</v>
      </c>
      <c r="W167" s="84">
        <f t="shared" si="27"/>
        <v>0</v>
      </c>
      <c r="X167" s="84">
        <f t="shared" si="27"/>
        <v>0</v>
      </c>
      <c r="Y167" s="84">
        <f t="shared" si="27"/>
        <v>0</v>
      </c>
      <c r="Z167" s="84">
        <f t="shared" si="27"/>
        <v>0</v>
      </c>
      <c r="AA167" s="84">
        <f t="shared" si="27"/>
        <v>0</v>
      </c>
      <c r="AB167" s="84">
        <f t="shared" si="27"/>
        <v>0</v>
      </c>
      <c r="AC167" s="84">
        <f t="shared" si="27"/>
        <v>0</v>
      </c>
      <c r="AD167" s="84">
        <f t="shared" si="27"/>
        <v>1</v>
      </c>
    </row>
    <row r="168" spans="1:30" ht="65.25" thickBot="1">
      <c r="A168" s="155" t="s">
        <v>144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7"/>
    </row>
    <row r="169" spans="1:30" ht="129.75" thickBot="1">
      <c r="A169" s="94">
        <v>49</v>
      </c>
      <c r="B169" s="75" t="s">
        <v>166</v>
      </c>
      <c r="C169" s="95"/>
      <c r="D169" s="96"/>
      <c r="E169" s="96"/>
      <c r="F169" s="96"/>
      <c r="G169" s="96">
        <v>11</v>
      </c>
      <c r="H169" s="96"/>
      <c r="I169" s="106"/>
      <c r="J169" s="106"/>
      <c r="K169" s="106"/>
      <c r="L169" s="106"/>
      <c r="M169" s="106"/>
      <c r="N169" s="106"/>
      <c r="O169" s="106">
        <v>11</v>
      </c>
      <c r="P169" s="106">
        <v>4</v>
      </c>
      <c r="Q169" s="106"/>
      <c r="R169" s="106">
        <v>14</v>
      </c>
      <c r="S169" s="106">
        <v>25</v>
      </c>
      <c r="T169" s="106">
        <v>121</v>
      </c>
      <c r="U169" s="106"/>
      <c r="V169" s="106"/>
      <c r="W169" s="106"/>
      <c r="X169" s="106"/>
      <c r="Y169" s="106"/>
      <c r="Z169" s="106"/>
      <c r="AA169" s="106"/>
      <c r="AB169" s="106"/>
      <c r="AC169" s="107"/>
      <c r="AD169" s="95"/>
    </row>
    <row r="170" spans="1:30" ht="65.25" thickBot="1">
      <c r="A170" s="84">
        <v>13</v>
      </c>
      <c r="B170" s="23" t="s">
        <v>7</v>
      </c>
      <c r="C170" s="84"/>
      <c r="D170" s="85"/>
      <c r="E170" s="85"/>
      <c r="F170" s="85"/>
      <c r="G170" s="85"/>
      <c r="H170" s="86"/>
      <c r="I170" s="86"/>
      <c r="J170" s="86"/>
      <c r="K170" s="86"/>
      <c r="L170" s="86"/>
      <c r="M170" s="86"/>
      <c r="N170" s="87"/>
      <c r="O170" s="84">
        <v>10</v>
      </c>
      <c r="P170" s="87"/>
      <c r="Q170" s="84"/>
      <c r="R170" s="87"/>
      <c r="S170" s="84"/>
      <c r="T170" s="84"/>
      <c r="U170" s="87"/>
      <c r="V170" s="84"/>
      <c r="W170" s="87"/>
      <c r="X170" s="84"/>
      <c r="Y170" s="84"/>
      <c r="Z170" s="87"/>
      <c r="AA170" s="84">
        <v>0.48</v>
      </c>
      <c r="AB170" s="84"/>
      <c r="AC170" s="90"/>
      <c r="AD170" s="83"/>
    </row>
    <row r="171" spans="1:30" ht="129.75" thickBot="1">
      <c r="A171" s="83">
        <v>69</v>
      </c>
      <c r="B171" s="22" t="s">
        <v>106</v>
      </c>
      <c r="C171" s="84"/>
      <c r="D171" s="86"/>
      <c r="E171" s="86"/>
      <c r="F171" s="86"/>
      <c r="G171" s="86"/>
      <c r="H171" s="86"/>
      <c r="I171" s="86"/>
      <c r="J171" s="86"/>
      <c r="K171" s="86"/>
      <c r="L171" s="86">
        <v>85</v>
      </c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7"/>
      <c r="AD171" s="84"/>
    </row>
    <row r="172" spans="1:31" ht="65.25" thickBot="1">
      <c r="A172" s="83"/>
      <c r="B172" s="22" t="s">
        <v>6</v>
      </c>
      <c r="C172" s="84">
        <f aca="true" t="shared" si="28" ref="C172:AE172">SUM(C169:C171)</f>
        <v>0</v>
      </c>
      <c r="D172" s="84">
        <f t="shared" si="28"/>
        <v>0</v>
      </c>
      <c r="E172" s="84">
        <f t="shared" si="28"/>
        <v>0</v>
      </c>
      <c r="F172" s="84">
        <f t="shared" si="28"/>
        <v>0</v>
      </c>
      <c r="G172" s="84">
        <f t="shared" si="28"/>
        <v>11</v>
      </c>
      <c r="H172" s="84">
        <f t="shared" si="28"/>
        <v>0</v>
      </c>
      <c r="I172" s="84">
        <f t="shared" si="28"/>
        <v>0</v>
      </c>
      <c r="J172" s="84">
        <f t="shared" si="28"/>
        <v>0</v>
      </c>
      <c r="K172" s="84">
        <f t="shared" si="28"/>
        <v>0</v>
      </c>
      <c r="L172" s="84">
        <f t="shared" si="28"/>
        <v>85</v>
      </c>
      <c r="M172" s="84">
        <f t="shared" si="28"/>
        <v>0</v>
      </c>
      <c r="N172" s="84">
        <f t="shared" si="28"/>
        <v>0</v>
      </c>
      <c r="O172" s="84">
        <f t="shared" si="28"/>
        <v>21</v>
      </c>
      <c r="P172" s="84">
        <f t="shared" si="28"/>
        <v>4</v>
      </c>
      <c r="Q172" s="84">
        <f t="shared" si="28"/>
        <v>0</v>
      </c>
      <c r="R172" s="84">
        <f t="shared" si="28"/>
        <v>14</v>
      </c>
      <c r="S172" s="84">
        <f t="shared" si="28"/>
        <v>25</v>
      </c>
      <c r="T172" s="84">
        <f t="shared" si="28"/>
        <v>121</v>
      </c>
      <c r="U172" s="84">
        <f t="shared" si="28"/>
        <v>0</v>
      </c>
      <c r="V172" s="84">
        <f t="shared" si="28"/>
        <v>0</v>
      </c>
      <c r="W172" s="84">
        <f t="shared" si="28"/>
        <v>0</v>
      </c>
      <c r="X172" s="84">
        <f t="shared" si="28"/>
        <v>0</v>
      </c>
      <c r="Y172" s="84">
        <f t="shared" si="28"/>
        <v>0</v>
      </c>
      <c r="Z172" s="84">
        <f t="shared" si="28"/>
        <v>0</v>
      </c>
      <c r="AA172" s="84">
        <f t="shared" si="28"/>
        <v>0.48</v>
      </c>
      <c r="AB172" s="84">
        <f t="shared" si="28"/>
        <v>0</v>
      </c>
      <c r="AC172" s="88">
        <f t="shared" si="28"/>
        <v>0</v>
      </c>
      <c r="AD172" s="84">
        <f t="shared" si="28"/>
        <v>0</v>
      </c>
      <c r="AE172" s="85">
        <f t="shared" si="28"/>
        <v>0</v>
      </c>
    </row>
    <row r="173" spans="1:30" ht="194.25" thickBot="1">
      <c r="A173" s="145"/>
      <c r="B173" s="22" t="s">
        <v>148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8"/>
      <c r="AD173" s="84"/>
    </row>
    <row r="174" spans="1:30" ht="65.25" thickBot="1">
      <c r="A174" s="83"/>
      <c r="B174" s="93" t="s">
        <v>10</v>
      </c>
      <c r="C174" s="84">
        <f aca="true" t="shared" si="29" ref="C174:AD174">C152+C155+C163+C167+C172</f>
        <v>40</v>
      </c>
      <c r="D174" s="84">
        <f t="shared" si="29"/>
        <v>40</v>
      </c>
      <c r="E174" s="84">
        <f t="shared" si="29"/>
        <v>43.2</v>
      </c>
      <c r="F174" s="84">
        <f t="shared" si="29"/>
        <v>0</v>
      </c>
      <c r="G174" s="84">
        <f t="shared" si="29"/>
        <v>29</v>
      </c>
      <c r="H174" s="84">
        <f t="shared" si="29"/>
        <v>0</v>
      </c>
      <c r="I174" s="84">
        <f t="shared" si="29"/>
        <v>45</v>
      </c>
      <c r="J174" s="84">
        <f t="shared" si="29"/>
        <v>219.5</v>
      </c>
      <c r="K174" s="84">
        <f t="shared" si="29"/>
        <v>100</v>
      </c>
      <c r="L174" s="84">
        <f t="shared" si="29"/>
        <v>85</v>
      </c>
      <c r="M174" s="84">
        <f t="shared" si="29"/>
        <v>15</v>
      </c>
      <c r="N174" s="84">
        <f t="shared" si="29"/>
        <v>0</v>
      </c>
      <c r="O174" s="84">
        <f t="shared" si="29"/>
        <v>54.2</v>
      </c>
      <c r="P174" s="84">
        <f t="shared" si="29"/>
        <v>19</v>
      </c>
      <c r="Q174" s="84">
        <f t="shared" si="29"/>
        <v>7.4</v>
      </c>
      <c r="R174" s="84">
        <f t="shared" si="29"/>
        <v>18.8</v>
      </c>
      <c r="S174" s="84">
        <f t="shared" si="29"/>
        <v>400</v>
      </c>
      <c r="T174" s="84">
        <f t="shared" si="29"/>
        <v>121</v>
      </c>
      <c r="U174" s="84">
        <f t="shared" si="29"/>
        <v>0</v>
      </c>
      <c r="V174" s="84">
        <f t="shared" si="29"/>
        <v>99</v>
      </c>
      <c r="W174" s="84">
        <f t="shared" si="29"/>
        <v>0</v>
      </c>
      <c r="X174" s="84">
        <f t="shared" si="29"/>
        <v>0</v>
      </c>
      <c r="Y174" s="84">
        <f t="shared" si="29"/>
        <v>7</v>
      </c>
      <c r="Z174" s="84">
        <f t="shared" si="29"/>
        <v>9</v>
      </c>
      <c r="AA174" s="84">
        <f t="shared" si="29"/>
        <v>0.48</v>
      </c>
      <c r="AB174" s="84">
        <f t="shared" si="29"/>
        <v>0</v>
      </c>
      <c r="AC174" s="88">
        <f t="shared" si="29"/>
        <v>1.1</v>
      </c>
      <c r="AD174" s="84">
        <f t="shared" si="29"/>
        <v>1</v>
      </c>
    </row>
    <row r="175" spans="1:30" ht="65.25" thickBot="1">
      <c r="A175" s="150" t="s">
        <v>62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2"/>
    </row>
    <row r="176" spans="1:30" ht="73.5" customHeight="1" thickBot="1">
      <c r="A176" s="150" t="s">
        <v>17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2"/>
    </row>
    <row r="177" spans="1:30" ht="47.25" customHeight="1">
      <c r="A177" s="166" t="s">
        <v>30</v>
      </c>
      <c r="B177" s="168" t="s">
        <v>23</v>
      </c>
      <c r="C177" s="153" t="s">
        <v>116</v>
      </c>
      <c r="D177" s="153" t="s">
        <v>117</v>
      </c>
      <c r="E177" s="153" t="s">
        <v>118</v>
      </c>
      <c r="F177" s="153" t="s">
        <v>119</v>
      </c>
      <c r="G177" s="153" t="s">
        <v>120</v>
      </c>
      <c r="H177" s="153" t="s">
        <v>121</v>
      </c>
      <c r="I177" s="153" t="s">
        <v>110</v>
      </c>
      <c r="J177" s="153" t="s">
        <v>257</v>
      </c>
      <c r="K177" s="140"/>
      <c r="L177" s="153" t="s">
        <v>142</v>
      </c>
      <c r="M177" s="153" t="s">
        <v>79</v>
      </c>
      <c r="N177" s="153" t="s">
        <v>123</v>
      </c>
      <c r="O177" s="153" t="s">
        <v>80</v>
      </c>
      <c r="P177" s="153" t="s">
        <v>124</v>
      </c>
      <c r="Q177" s="153" t="s">
        <v>81</v>
      </c>
      <c r="R177" s="153" t="s">
        <v>125</v>
      </c>
      <c r="S177" s="153" t="s">
        <v>126</v>
      </c>
      <c r="T177" s="153" t="s">
        <v>127</v>
      </c>
      <c r="U177" s="140"/>
      <c r="V177" s="153" t="s">
        <v>113</v>
      </c>
      <c r="W177" s="153" t="s">
        <v>129</v>
      </c>
      <c r="X177" s="153" t="s">
        <v>84</v>
      </c>
      <c r="Y177" s="153" t="s">
        <v>82</v>
      </c>
      <c r="Z177" s="153" t="s">
        <v>83</v>
      </c>
      <c r="AA177" s="153" t="s">
        <v>85</v>
      </c>
      <c r="AB177" s="140"/>
      <c r="AC177" s="158" t="s">
        <v>78</v>
      </c>
      <c r="AD177" s="153" t="s">
        <v>138</v>
      </c>
    </row>
    <row r="178" spans="1:30" ht="409.5" customHeight="1" thickBot="1">
      <c r="A178" s="167"/>
      <c r="B178" s="169"/>
      <c r="C178" s="154"/>
      <c r="D178" s="154"/>
      <c r="E178" s="154"/>
      <c r="F178" s="154"/>
      <c r="G178" s="154"/>
      <c r="H178" s="154"/>
      <c r="I178" s="154"/>
      <c r="J178" s="154"/>
      <c r="K178" s="141" t="s">
        <v>122</v>
      </c>
      <c r="L178" s="154"/>
      <c r="M178" s="154"/>
      <c r="N178" s="154"/>
      <c r="O178" s="154"/>
      <c r="P178" s="154"/>
      <c r="Q178" s="154"/>
      <c r="R178" s="154"/>
      <c r="S178" s="154"/>
      <c r="T178" s="154"/>
      <c r="U178" s="141" t="s">
        <v>128</v>
      </c>
      <c r="V178" s="154"/>
      <c r="W178" s="154"/>
      <c r="X178" s="154"/>
      <c r="Y178" s="154"/>
      <c r="Z178" s="154"/>
      <c r="AA178" s="154"/>
      <c r="AB178" s="141" t="s">
        <v>77</v>
      </c>
      <c r="AC178" s="159"/>
      <c r="AD178" s="154"/>
    </row>
    <row r="179" spans="1:30" ht="65.25" thickBot="1">
      <c r="A179" s="145">
        <v>1</v>
      </c>
      <c r="B179" s="79">
        <v>2</v>
      </c>
      <c r="C179" s="80" t="s">
        <v>54</v>
      </c>
      <c r="D179" s="81">
        <v>4</v>
      </c>
      <c r="E179" s="80">
        <v>5</v>
      </c>
      <c r="F179" s="80">
        <v>6</v>
      </c>
      <c r="G179" s="80">
        <v>7</v>
      </c>
      <c r="H179" s="80">
        <v>8</v>
      </c>
      <c r="I179" s="80" t="s">
        <v>55</v>
      </c>
      <c r="J179" s="81">
        <v>10</v>
      </c>
      <c r="K179" s="80">
        <v>11</v>
      </c>
      <c r="L179" s="80">
        <v>12</v>
      </c>
      <c r="M179" s="80">
        <v>13</v>
      </c>
      <c r="N179" s="80">
        <v>14</v>
      </c>
      <c r="O179" s="80">
        <v>15</v>
      </c>
      <c r="P179" s="143">
        <v>16</v>
      </c>
      <c r="Q179" s="80">
        <v>17</v>
      </c>
      <c r="R179" s="143">
        <v>18</v>
      </c>
      <c r="S179" s="80">
        <v>19</v>
      </c>
      <c r="T179" s="143">
        <v>20</v>
      </c>
      <c r="U179" s="143">
        <v>21</v>
      </c>
      <c r="V179" s="80">
        <v>22</v>
      </c>
      <c r="W179" s="80">
        <v>23</v>
      </c>
      <c r="X179" s="143">
        <v>24</v>
      </c>
      <c r="Y179" s="80">
        <v>25</v>
      </c>
      <c r="Z179" s="80">
        <v>26</v>
      </c>
      <c r="AA179" s="80">
        <v>27</v>
      </c>
      <c r="AB179" s="143">
        <v>28</v>
      </c>
      <c r="AC179" s="142">
        <v>29</v>
      </c>
      <c r="AD179" s="80">
        <v>31</v>
      </c>
    </row>
    <row r="180" spans="1:30" ht="65.25" thickBot="1">
      <c r="A180" s="150" t="s">
        <v>5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2"/>
    </row>
    <row r="181" spans="1:30" ht="129.75" thickBot="1">
      <c r="A181" s="83">
        <v>43</v>
      </c>
      <c r="B181" s="22" t="s">
        <v>165</v>
      </c>
      <c r="C181" s="84"/>
      <c r="D181" s="86"/>
      <c r="E181" s="86"/>
      <c r="F181" s="86"/>
      <c r="G181" s="86">
        <v>45</v>
      </c>
      <c r="H181" s="86"/>
      <c r="I181" s="86"/>
      <c r="J181" s="86"/>
      <c r="K181" s="86"/>
      <c r="L181" s="86"/>
      <c r="M181" s="86"/>
      <c r="N181" s="87"/>
      <c r="O181" s="83"/>
      <c r="P181" s="87">
        <v>5</v>
      </c>
      <c r="Q181" s="83"/>
      <c r="R181" s="87"/>
      <c r="S181" s="83"/>
      <c r="T181" s="87"/>
      <c r="U181" s="84"/>
      <c r="V181" s="83"/>
      <c r="W181" s="87"/>
      <c r="X181" s="84"/>
      <c r="Y181" s="83"/>
      <c r="Z181" s="87"/>
      <c r="AA181" s="83"/>
      <c r="AB181" s="87"/>
      <c r="AC181" s="88"/>
      <c r="AD181" s="80"/>
    </row>
    <row r="182" spans="1:30" ht="65.25" thickBot="1">
      <c r="A182" s="84">
        <v>41</v>
      </c>
      <c r="B182" s="22" t="s">
        <v>101</v>
      </c>
      <c r="C182" s="84"/>
      <c r="D182" s="86"/>
      <c r="E182" s="86"/>
      <c r="F182" s="86"/>
      <c r="G182" s="86"/>
      <c r="H182" s="86"/>
      <c r="I182" s="86"/>
      <c r="J182" s="86">
        <v>42</v>
      </c>
      <c r="K182" s="86"/>
      <c r="L182" s="86"/>
      <c r="M182" s="86"/>
      <c r="N182" s="87"/>
      <c r="O182" s="83"/>
      <c r="P182" s="87"/>
      <c r="Q182" s="83"/>
      <c r="R182" s="87"/>
      <c r="S182" s="83"/>
      <c r="T182" s="87"/>
      <c r="U182" s="84"/>
      <c r="V182" s="83"/>
      <c r="W182" s="87"/>
      <c r="X182" s="84"/>
      <c r="Y182" s="83"/>
      <c r="Z182" s="87"/>
      <c r="AA182" s="83"/>
      <c r="AB182" s="84"/>
      <c r="AC182" s="88"/>
      <c r="AD182" s="83"/>
    </row>
    <row r="183" spans="1:30" ht="65.25" thickBot="1">
      <c r="A183" s="84">
        <v>13</v>
      </c>
      <c r="B183" s="23" t="s">
        <v>7</v>
      </c>
      <c r="C183" s="84"/>
      <c r="D183" s="85"/>
      <c r="E183" s="85"/>
      <c r="F183" s="85"/>
      <c r="G183" s="85"/>
      <c r="H183" s="86"/>
      <c r="I183" s="86"/>
      <c r="J183" s="86"/>
      <c r="K183" s="86"/>
      <c r="L183" s="86"/>
      <c r="M183" s="86"/>
      <c r="N183" s="87"/>
      <c r="O183" s="84">
        <v>10</v>
      </c>
      <c r="P183" s="87"/>
      <c r="Q183" s="84"/>
      <c r="R183" s="87"/>
      <c r="S183" s="84"/>
      <c r="T183" s="84"/>
      <c r="U183" s="87"/>
      <c r="V183" s="84"/>
      <c r="W183" s="87"/>
      <c r="X183" s="84"/>
      <c r="Y183" s="84"/>
      <c r="Z183" s="87"/>
      <c r="AA183" s="84">
        <v>0.48</v>
      </c>
      <c r="AB183" s="84"/>
      <c r="AC183" s="90"/>
      <c r="AD183" s="83"/>
    </row>
    <row r="184" spans="1:30" ht="65.25" thickBot="1">
      <c r="A184" s="83">
        <v>16</v>
      </c>
      <c r="B184" s="22" t="s">
        <v>36</v>
      </c>
      <c r="C184" s="86">
        <v>20</v>
      </c>
      <c r="D184" s="85"/>
      <c r="E184" s="85"/>
      <c r="F184" s="85"/>
      <c r="G184" s="85"/>
      <c r="H184" s="86"/>
      <c r="I184" s="86"/>
      <c r="J184" s="86"/>
      <c r="K184" s="86"/>
      <c r="L184" s="86"/>
      <c r="M184" s="86"/>
      <c r="N184" s="87"/>
      <c r="O184" s="84"/>
      <c r="P184" s="84">
        <v>5</v>
      </c>
      <c r="Q184" s="84"/>
      <c r="R184" s="87"/>
      <c r="S184" s="84"/>
      <c r="T184" s="87"/>
      <c r="U184" s="83"/>
      <c r="V184" s="84"/>
      <c r="W184" s="83"/>
      <c r="X184" s="87"/>
      <c r="Y184" s="84"/>
      <c r="Z184" s="84"/>
      <c r="AA184" s="87"/>
      <c r="AB184" s="83"/>
      <c r="AC184" s="88"/>
      <c r="AD184" s="84"/>
    </row>
    <row r="185" spans="1:30" ht="65.25" thickBot="1">
      <c r="A185" s="83"/>
      <c r="B185" s="22" t="s">
        <v>6</v>
      </c>
      <c r="C185" s="83">
        <f aca="true" t="shared" si="30" ref="C185:AD185">SUM(C181:C184)</f>
        <v>20</v>
      </c>
      <c r="D185" s="83">
        <f t="shared" si="30"/>
        <v>0</v>
      </c>
      <c r="E185" s="83">
        <f t="shared" si="30"/>
        <v>0</v>
      </c>
      <c r="F185" s="83">
        <f t="shared" si="30"/>
        <v>0</v>
      </c>
      <c r="G185" s="83">
        <f t="shared" si="30"/>
        <v>45</v>
      </c>
      <c r="H185" s="83">
        <f t="shared" si="30"/>
        <v>0</v>
      </c>
      <c r="I185" s="83">
        <f t="shared" si="30"/>
        <v>0</v>
      </c>
      <c r="J185" s="83">
        <f t="shared" si="30"/>
        <v>42</v>
      </c>
      <c r="K185" s="83">
        <f t="shared" si="30"/>
        <v>0</v>
      </c>
      <c r="L185" s="83">
        <f t="shared" si="30"/>
        <v>0</v>
      </c>
      <c r="M185" s="83">
        <f t="shared" si="30"/>
        <v>0</v>
      </c>
      <c r="N185" s="83">
        <f t="shared" si="30"/>
        <v>0</v>
      </c>
      <c r="O185" s="83">
        <f t="shared" si="30"/>
        <v>10</v>
      </c>
      <c r="P185" s="83">
        <f t="shared" si="30"/>
        <v>10</v>
      </c>
      <c r="Q185" s="83">
        <f t="shared" si="30"/>
        <v>0</v>
      </c>
      <c r="R185" s="83">
        <f t="shared" si="30"/>
        <v>0</v>
      </c>
      <c r="S185" s="83">
        <f t="shared" si="30"/>
        <v>0</v>
      </c>
      <c r="T185" s="83">
        <f t="shared" si="30"/>
        <v>0</v>
      </c>
      <c r="U185" s="83">
        <f t="shared" si="30"/>
        <v>0</v>
      </c>
      <c r="V185" s="83">
        <f t="shared" si="30"/>
        <v>0</v>
      </c>
      <c r="W185" s="83">
        <f t="shared" si="30"/>
        <v>0</v>
      </c>
      <c r="X185" s="83">
        <f t="shared" si="30"/>
        <v>0</v>
      </c>
      <c r="Y185" s="83">
        <f t="shared" si="30"/>
        <v>0</v>
      </c>
      <c r="Z185" s="83">
        <f t="shared" si="30"/>
        <v>0</v>
      </c>
      <c r="AA185" s="83">
        <f t="shared" si="30"/>
        <v>0.48</v>
      </c>
      <c r="AB185" s="83">
        <f t="shared" si="30"/>
        <v>0</v>
      </c>
      <c r="AC185" s="90">
        <f t="shared" si="30"/>
        <v>0</v>
      </c>
      <c r="AD185" s="83">
        <f t="shared" si="30"/>
        <v>0</v>
      </c>
    </row>
    <row r="186" spans="1:30" ht="65.25" thickBot="1">
      <c r="A186" s="155" t="s">
        <v>53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7"/>
    </row>
    <row r="187" spans="1:30" ht="65.25" thickBot="1">
      <c r="A187" s="83" t="s">
        <v>32</v>
      </c>
      <c r="B187" s="25" t="s">
        <v>182</v>
      </c>
      <c r="C187" s="84"/>
      <c r="D187" s="86"/>
      <c r="E187" s="86"/>
      <c r="F187" s="86"/>
      <c r="G187" s="86"/>
      <c r="H187" s="86"/>
      <c r="I187" s="86"/>
      <c r="J187" s="86"/>
      <c r="K187" s="86">
        <v>100</v>
      </c>
      <c r="L187" s="86"/>
      <c r="M187" s="86"/>
      <c r="N187" s="87"/>
      <c r="O187" s="84"/>
      <c r="P187" s="87"/>
      <c r="Q187" s="84"/>
      <c r="R187" s="87"/>
      <c r="S187" s="84"/>
      <c r="T187" s="87"/>
      <c r="U187" s="84"/>
      <c r="V187" s="84"/>
      <c r="W187" s="87"/>
      <c r="X187" s="84"/>
      <c r="Y187" s="84"/>
      <c r="Z187" s="87"/>
      <c r="AA187" s="84"/>
      <c r="AB187" s="87"/>
      <c r="AC187" s="88"/>
      <c r="AD187" s="83"/>
    </row>
    <row r="188" spans="1:30" ht="65.25" thickBot="1">
      <c r="A188" s="83"/>
      <c r="B188" s="22" t="s">
        <v>29</v>
      </c>
      <c r="C188" s="86">
        <f>SUM(C187)</f>
        <v>0</v>
      </c>
      <c r="D188" s="86">
        <f>SUM(D187)</f>
        <v>0</v>
      </c>
      <c r="E188" s="86">
        <f aca="true" t="shared" si="31" ref="E188:AC188">SUM(E187)</f>
        <v>0</v>
      </c>
      <c r="F188" s="86">
        <f t="shared" si="31"/>
        <v>0</v>
      </c>
      <c r="G188" s="86">
        <f t="shared" si="31"/>
        <v>0</v>
      </c>
      <c r="H188" s="86">
        <f t="shared" si="31"/>
        <v>0</v>
      </c>
      <c r="I188" s="86">
        <f t="shared" si="31"/>
        <v>0</v>
      </c>
      <c r="J188" s="86">
        <f t="shared" si="31"/>
        <v>0</v>
      </c>
      <c r="K188" s="86">
        <f t="shared" si="31"/>
        <v>100</v>
      </c>
      <c r="L188" s="86">
        <f t="shared" si="31"/>
        <v>0</v>
      </c>
      <c r="M188" s="86">
        <f t="shared" si="31"/>
        <v>0</v>
      </c>
      <c r="N188" s="86">
        <f t="shared" si="31"/>
        <v>0</v>
      </c>
      <c r="O188" s="86">
        <f t="shared" si="31"/>
        <v>0</v>
      </c>
      <c r="P188" s="86">
        <f t="shared" si="31"/>
        <v>0</v>
      </c>
      <c r="Q188" s="86">
        <f t="shared" si="31"/>
        <v>0</v>
      </c>
      <c r="R188" s="86">
        <f t="shared" si="31"/>
        <v>0</v>
      </c>
      <c r="S188" s="86">
        <f t="shared" si="31"/>
        <v>0</v>
      </c>
      <c r="T188" s="86">
        <f t="shared" si="31"/>
        <v>0</v>
      </c>
      <c r="U188" s="86">
        <f t="shared" si="31"/>
        <v>0</v>
      </c>
      <c r="V188" s="86">
        <f t="shared" si="31"/>
        <v>0</v>
      </c>
      <c r="W188" s="86">
        <f t="shared" si="31"/>
        <v>0</v>
      </c>
      <c r="X188" s="86">
        <f t="shared" si="31"/>
        <v>0</v>
      </c>
      <c r="Y188" s="86">
        <f t="shared" si="31"/>
        <v>0</v>
      </c>
      <c r="Z188" s="86">
        <f t="shared" si="31"/>
        <v>0</v>
      </c>
      <c r="AA188" s="86">
        <f t="shared" si="31"/>
        <v>0</v>
      </c>
      <c r="AB188" s="86">
        <f t="shared" si="31"/>
        <v>0</v>
      </c>
      <c r="AC188" s="87">
        <f t="shared" si="31"/>
        <v>0</v>
      </c>
      <c r="AD188" s="83">
        <f>SUM(AD187)</f>
        <v>0</v>
      </c>
    </row>
    <row r="189" spans="1:30" ht="65.25" thickBot="1">
      <c r="A189" s="155" t="s">
        <v>31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7"/>
    </row>
    <row r="190" spans="1:30" ht="129.75" thickBot="1">
      <c r="A190" s="84">
        <v>12</v>
      </c>
      <c r="B190" s="22" t="s">
        <v>227</v>
      </c>
      <c r="C190" s="84"/>
      <c r="D190" s="86"/>
      <c r="E190" s="86"/>
      <c r="F190" s="86"/>
      <c r="G190" s="86"/>
      <c r="H190" s="86"/>
      <c r="I190" s="86"/>
      <c r="J190" s="86">
        <v>31</v>
      </c>
      <c r="K190" s="86"/>
      <c r="L190" s="86"/>
      <c r="M190" s="86"/>
      <c r="N190" s="87"/>
      <c r="O190" s="83">
        <v>1</v>
      </c>
      <c r="P190" s="87"/>
      <c r="Q190" s="83">
        <v>3</v>
      </c>
      <c r="R190" s="87"/>
      <c r="S190" s="83"/>
      <c r="T190" s="87"/>
      <c r="U190" s="84"/>
      <c r="V190" s="83"/>
      <c r="W190" s="87"/>
      <c r="X190" s="84"/>
      <c r="Y190" s="83"/>
      <c r="Z190" s="87"/>
      <c r="AA190" s="83"/>
      <c r="AB190" s="84"/>
      <c r="AC190" s="88"/>
      <c r="AD190" s="80"/>
    </row>
    <row r="191" spans="1:30" ht="129.75" thickBot="1">
      <c r="A191" s="83">
        <v>47</v>
      </c>
      <c r="B191" s="22" t="s">
        <v>75</v>
      </c>
      <c r="C191" s="84"/>
      <c r="D191" s="86"/>
      <c r="E191" s="86"/>
      <c r="F191" s="86"/>
      <c r="G191" s="86">
        <v>13</v>
      </c>
      <c r="H191" s="86"/>
      <c r="I191" s="86">
        <v>30</v>
      </c>
      <c r="J191" s="86">
        <v>17.2</v>
      </c>
      <c r="K191" s="86"/>
      <c r="L191" s="86"/>
      <c r="M191" s="86"/>
      <c r="N191" s="87"/>
      <c r="O191" s="83"/>
      <c r="P191" s="87">
        <v>2</v>
      </c>
      <c r="Q191" s="83"/>
      <c r="R191" s="87"/>
      <c r="S191" s="83"/>
      <c r="T191" s="87"/>
      <c r="U191" s="83"/>
      <c r="V191" s="83">
        <v>10</v>
      </c>
      <c r="W191" s="86"/>
      <c r="X191" s="83"/>
      <c r="Y191" s="83"/>
      <c r="Z191" s="87"/>
      <c r="AA191" s="83"/>
      <c r="AB191" s="83"/>
      <c r="AC191" s="87"/>
      <c r="AD191" s="83"/>
    </row>
    <row r="192" spans="1:30" ht="65.25" thickBot="1">
      <c r="A192" s="83">
        <v>80</v>
      </c>
      <c r="B192" s="22" t="s">
        <v>173</v>
      </c>
      <c r="C192" s="84"/>
      <c r="D192" s="86"/>
      <c r="E192" s="86">
        <v>0.9</v>
      </c>
      <c r="F192" s="86"/>
      <c r="G192" s="86"/>
      <c r="H192" s="86"/>
      <c r="I192" s="86"/>
      <c r="J192" s="86">
        <v>12</v>
      </c>
      <c r="K192" s="86"/>
      <c r="L192" s="86"/>
      <c r="M192" s="86"/>
      <c r="N192" s="87"/>
      <c r="O192" s="83"/>
      <c r="P192" s="87">
        <v>0.5</v>
      </c>
      <c r="Q192" s="83">
        <v>1.3</v>
      </c>
      <c r="R192" s="87"/>
      <c r="S192" s="83"/>
      <c r="T192" s="87"/>
      <c r="U192" s="83"/>
      <c r="V192" s="83">
        <v>75</v>
      </c>
      <c r="W192" s="87"/>
      <c r="X192" s="83"/>
      <c r="Y192" s="83">
        <v>7</v>
      </c>
      <c r="Z192" s="87"/>
      <c r="AA192" s="83"/>
      <c r="AB192" s="87"/>
      <c r="AC192" s="87"/>
      <c r="AD192" s="83"/>
    </row>
    <row r="193" spans="1:30" ht="129.75" thickBot="1">
      <c r="A193" s="94">
        <v>42</v>
      </c>
      <c r="B193" s="75" t="s">
        <v>152</v>
      </c>
      <c r="C193" s="95"/>
      <c r="D193" s="96"/>
      <c r="E193" s="96"/>
      <c r="F193" s="96"/>
      <c r="G193" s="96"/>
      <c r="H193" s="96">
        <v>25</v>
      </c>
      <c r="I193" s="96"/>
      <c r="J193" s="96"/>
      <c r="K193" s="96"/>
      <c r="L193" s="96"/>
      <c r="M193" s="96"/>
      <c r="N193" s="96"/>
      <c r="O193" s="96"/>
      <c r="P193" s="96">
        <v>3</v>
      </c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7"/>
      <c r="AD193" s="94"/>
    </row>
    <row r="194" spans="1:30" ht="165.75" customHeight="1" thickBot="1">
      <c r="A194" s="83">
        <v>9</v>
      </c>
      <c r="B194" s="22" t="s">
        <v>43</v>
      </c>
      <c r="C194" s="84"/>
      <c r="D194" s="86"/>
      <c r="E194" s="86"/>
      <c r="F194" s="86"/>
      <c r="G194" s="86"/>
      <c r="H194" s="86"/>
      <c r="I194" s="86"/>
      <c r="J194" s="86"/>
      <c r="K194" s="86"/>
      <c r="L194" s="86"/>
      <c r="M194" s="86">
        <v>15</v>
      </c>
      <c r="N194" s="87"/>
      <c r="O194" s="83">
        <v>10</v>
      </c>
      <c r="P194" s="87"/>
      <c r="Q194" s="83"/>
      <c r="R194" s="87"/>
      <c r="S194" s="83"/>
      <c r="T194" s="83"/>
      <c r="U194" s="87"/>
      <c r="V194" s="83"/>
      <c r="W194" s="87"/>
      <c r="X194" s="83"/>
      <c r="Y194" s="83"/>
      <c r="Z194" s="87"/>
      <c r="AA194" s="83"/>
      <c r="AB194" s="87"/>
      <c r="AC194" s="90"/>
      <c r="AD194" s="83"/>
    </row>
    <row r="195" spans="1:30" ht="165.75" customHeight="1" thickBot="1">
      <c r="A195" s="83" t="s">
        <v>32</v>
      </c>
      <c r="B195" s="22" t="s">
        <v>56</v>
      </c>
      <c r="C195" s="84">
        <v>20</v>
      </c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7"/>
      <c r="U195" s="83"/>
      <c r="V195" s="86"/>
      <c r="W195" s="87"/>
      <c r="X195" s="83"/>
      <c r="Y195" s="86"/>
      <c r="Z195" s="86"/>
      <c r="AA195" s="86"/>
      <c r="AB195" s="86"/>
      <c r="AC195" s="87"/>
      <c r="AD195" s="83"/>
    </row>
    <row r="196" spans="1:30" ht="129.75" thickBot="1">
      <c r="A196" s="83" t="s">
        <v>32</v>
      </c>
      <c r="B196" s="22" t="s">
        <v>58</v>
      </c>
      <c r="C196" s="84"/>
      <c r="D196" s="86">
        <v>40</v>
      </c>
      <c r="E196" s="86"/>
      <c r="F196" s="86"/>
      <c r="G196" s="86"/>
      <c r="H196" s="86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91"/>
      <c r="AD196" s="84"/>
    </row>
    <row r="197" spans="1:30" ht="65.25" thickBot="1">
      <c r="A197" s="84"/>
      <c r="B197" s="25" t="s">
        <v>29</v>
      </c>
      <c r="C197" s="84">
        <f aca="true" t="shared" si="32" ref="C197:AD197">SUM(C190:C196)</f>
        <v>20</v>
      </c>
      <c r="D197" s="84">
        <f t="shared" si="32"/>
        <v>40</v>
      </c>
      <c r="E197" s="84">
        <f t="shared" si="32"/>
        <v>0.9</v>
      </c>
      <c r="F197" s="84">
        <f t="shared" si="32"/>
        <v>0</v>
      </c>
      <c r="G197" s="84">
        <f t="shared" si="32"/>
        <v>13</v>
      </c>
      <c r="H197" s="84">
        <f t="shared" si="32"/>
        <v>25</v>
      </c>
      <c r="I197" s="84">
        <f t="shared" si="32"/>
        <v>30</v>
      </c>
      <c r="J197" s="84">
        <f t="shared" si="32"/>
        <v>60.2</v>
      </c>
      <c r="K197" s="84">
        <f t="shared" si="32"/>
        <v>0</v>
      </c>
      <c r="L197" s="84">
        <f t="shared" si="32"/>
        <v>0</v>
      </c>
      <c r="M197" s="84">
        <f t="shared" si="32"/>
        <v>15</v>
      </c>
      <c r="N197" s="84">
        <f t="shared" si="32"/>
        <v>0</v>
      </c>
      <c r="O197" s="84">
        <f t="shared" si="32"/>
        <v>11</v>
      </c>
      <c r="P197" s="84">
        <f t="shared" si="32"/>
        <v>5.5</v>
      </c>
      <c r="Q197" s="84">
        <f t="shared" si="32"/>
        <v>4.3</v>
      </c>
      <c r="R197" s="84">
        <f t="shared" si="32"/>
        <v>0</v>
      </c>
      <c r="S197" s="84">
        <f t="shared" si="32"/>
        <v>0</v>
      </c>
      <c r="T197" s="84">
        <f t="shared" si="32"/>
        <v>0</v>
      </c>
      <c r="U197" s="84">
        <f t="shared" si="32"/>
        <v>0</v>
      </c>
      <c r="V197" s="84">
        <f t="shared" si="32"/>
        <v>85</v>
      </c>
      <c r="W197" s="84">
        <f t="shared" si="32"/>
        <v>0</v>
      </c>
      <c r="X197" s="84">
        <f t="shared" si="32"/>
        <v>0</v>
      </c>
      <c r="Y197" s="84">
        <f t="shared" si="32"/>
        <v>7</v>
      </c>
      <c r="Z197" s="84">
        <f t="shared" si="32"/>
        <v>0</v>
      </c>
      <c r="AA197" s="84">
        <f t="shared" si="32"/>
        <v>0</v>
      </c>
      <c r="AB197" s="84">
        <f t="shared" si="32"/>
        <v>0</v>
      </c>
      <c r="AC197" s="88">
        <f t="shared" si="32"/>
        <v>0</v>
      </c>
      <c r="AD197" s="84">
        <f t="shared" si="32"/>
        <v>0</v>
      </c>
    </row>
    <row r="198" spans="1:30" ht="65.25" thickBot="1">
      <c r="A198" s="150" t="s">
        <v>145</v>
      </c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2"/>
    </row>
    <row r="199" spans="1:30" ht="194.25" thickBot="1">
      <c r="A199" s="92">
        <v>21.1</v>
      </c>
      <c r="B199" s="27" t="s">
        <v>172</v>
      </c>
      <c r="C199" s="83"/>
      <c r="D199" s="86"/>
      <c r="E199" s="83"/>
      <c r="F199" s="83"/>
      <c r="G199" s="83"/>
      <c r="H199" s="86"/>
      <c r="I199" s="86"/>
      <c r="J199" s="86"/>
      <c r="K199" s="86"/>
      <c r="L199" s="86"/>
      <c r="M199" s="86"/>
      <c r="N199" s="87"/>
      <c r="O199" s="84"/>
      <c r="P199" s="87"/>
      <c r="Q199" s="84"/>
      <c r="R199" s="87"/>
      <c r="S199" s="84">
        <v>155</v>
      </c>
      <c r="T199" s="87"/>
      <c r="U199" s="84"/>
      <c r="V199" s="84"/>
      <c r="W199" s="87"/>
      <c r="X199" s="84"/>
      <c r="Y199" s="84"/>
      <c r="Z199" s="87"/>
      <c r="AA199" s="84"/>
      <c r="AB199" s="84"/>
      <c r="AC199" s="88"/>
      <c r="AD199" s="83"/>
    </row>
    <row r="200" spans="1:30" ht="194.25" thickBot="1">
      <c r="A200" s="83">
        <v>24</v>
      </c>
      <c r="B200" s="22" t="s">
        <v>105</v>
      </c>
      <c r="C200" s="8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>
        <v>30</v>
      </c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7"/>
      <c r="AD200" s="83"/>
    </row>
    <row r="201" spans="1:30" ht="65.25" thickBot="1">
      <c r="A201" s="84"/>
      <c r="B201" s="25" t="s">
        <v>29</v>
      </c>
      <c r="C201" s="84">
        <f>C199+C200</f>
        <v>0</v>
      </c>
      <c r="D201" s="84">
        <f aca="true" t="shared" si="33" ref="D201:AD201">D199+D200</f>
        <v>0</v>
      </c>
      <c r="E201" s="84">
        <f t="shared" si="33"/>
        <v>0</v>
      </c>
      <c r="F201" s="84">
        <f t="shared" si="33"/>
        <v>0</v>
      </c>
      <c r="G201" s="84">
        <f t="shared" si="33"/>
        <v>0</v>
      </c>
      <c r="H201" s="84">
        <f t="shared" si="33"/>
        <v>0</v>
      </c>
      <c r="I201" s="84">
        <f t="shared" si="33"/>
        <v>0</v>
      </c>
      <c r="J201" s="84">
        <f t="shared" si="33"/>
        <v>0</v>
      </c>
      <c r="K201" s="84">
        <f t="shared" si="33"/>
        <v>0</v>
      </c>
      <c r="L201" s="84">
        <f t="shared" si="33"/>
        <v>0</v>
      </c>
      <c r="M201" s="84">
        <f t="shared" si="33"/>
        <v>0</v>
      </c>
      <c r="N201" s="84">
        <f t="shared" si="33"/>
        <v>30</v>
      </c>
      <c r="O201" s="84">
        <f t="shared" si="33"/>
        <v>0</v>
      </c>
      <c r="P201" s="84">
        <f t="shared" si="33"/>
        <v>0</v>
      </c>
      <c r="Q201" s="84">
        <f t="shared" si="33"/>
        <v>0</v>
      </c>
      <c r="R201" s="84">
        <f t="shared" si="33"/>
        <v>0</v>
      </c>
      <c r="S201" s="84">
        <f t="shared" si="33"/>
        <v>155</v>
      </c>
      <c r="T201" s="84">
        <f t="shared" si="33"/>
        <v>0</v>
      </c>
      <c r="U201" s="84">
        <f t="shared" si="33"/>
        <v>0</v>
      </c>
      <c r="V201" s="84">
        <f t="shared" si="33"/>
        <v>0</v>
      </c>
      <c r="W201" s="84">
        <f t="shared" si="33"/>
        <v>0</v>
      </c>
      <c r="X201" s="84">
        <f t="shared" si="33"/>
        <v>0</v>
      </c>
      <c r="Y201" s="84">
        <f t="shared" si="33"/>
        <v>0</v>
      </c>
      <c r="Z201" s="84">
        <f t="shared" si="33"/>
        <v>0</v>
      </c>
      <c r="AA201" s="84">
        <f t="shared" si="33"/>
        <v>0</v>
      </c>
      <c r="AB201" s="84">
        <f t="shared" si="33"/>
        <v>0</v>
      </c>
      <c r="AC201" s="84">
        <f t="shared" si="33"/>
        <v>0</v>
      </c>
      <c r="AD201" s="84">
        <f t="shared" si="33"/>
        <v>0</v>
      </c>
    </row>
    <row r="202" spans="1:30" ht="65.25" thickBot="1">
      <c r="A202" s="150" t="s">
        <v>144</v>
      </c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2"/>
    </row>
    <row r="203" spans="1:30" ht="65.25" customHeight="1" thickBot="1">
      <c r="A203" s="84">
        <v>23</v>
      </c>
      <c r="B203" s="25" t="s">
        <v>162</v>
      </c>
      <c r="C203" s="84"/>
      <c r="D203" s="85"/>
      <c r="E203" s="85"/>
      <c r="F203" s="85"/>
      <c r="G203" s="85">
        <v>19</v>
      </c>
      <c r="H203" s="86"/>
      <c r="I203" s="86"/>
      <c r="J203" s="86"/>
      <c r="K203" s="86"/>
      <c r="L203" s="86"/>
      <c r="M203" s="86"/>
      <c r="N203" s="87"/>
      <c r="O203" s="84">
        <v>4</v>
      </c>
      <c r="P203" s="87">
        <v>2</v>
      </c>
      <c r="Q203" s="84"/>
      <c r="R203" s="87"/>
      <c r="S203" s="84">
        <v>113</v>
      </c>
      <c r="T203" s="87"/>
      <c r="U203" s="84"/>
      <c r="V203" s="84"/>
      <c r="W203" s="84"/>
      <c r="X203" s="87"/>
      <c r="Y203" s="84"/>
      <c r="Z203" s="84"/>
      <c r="AA203" s="84"/>
      <c r="AB203" s="87"/>
      <c r="AC203" s="88"/>
      <c r="AD203" s="84"/>
    </row>
    <row r="204" spans="1:30" ht="156.75" customHeight="1" thickBot="1">
      <c r="A204" s="83" t="s">
        <v>32</v>
      </c>
      <c r="B204" s="22" t="s">
        <v>56</v>
      </c>
      <c r="C204" s="86">
        <v>15</v>
      </c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7"/>
      <c r="U204" s="83"/>
      <c r="V204" s="86"/>
      <c r="W204" s="87"/>
      <c r="X204" s="83"/>
      <c r="Y204" s="86"/>
      <c r="Z204" s="86"/>
      <c r="AA204" s="86"/>
      <c r="AB204" s="86"/>
      <c r="AC204" s="90"/>
      <c r="AD204" s="83"/>
    </row>
    <row r="205" spans="1:30" ht="156.75" customHeight="1" thickBot="1">
      <c r="A205" s="83">
        <v>69</v>
      </c>
      <c r="B205" s="22" t="s">
        <v>106</v>
      </c>
      <c r="C205" s="84"/>
      <c r="D205" s="86"/>
      <c r="E205" s="86"/>
      <c r="F205" s="86"/>
      <c r="G205" s="86"/>
      <c r="H205" s="86"/>
      <c r="I205" s="86"/>
      <c r="J205" s="86"/>
      <c r="K205" s="86"/>
      <c r="L205" s="86">
        <v>85</v>
      </c>
      <c r="M205" s="8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7"/>
      <c r="AD205" s="84"/>
    </row>
    <row r="206" spans="1:30" ht="129.75" thickBot="1">
      <c r="A206" s="83">
        <v>2</v>
      </c>
      <c r="B206" s="22" t="s">
        <v>69</v>
      </c>
      <c r="C206" s="84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3"/>
      <c r="O206" s="84">
        <v>8</v>
      </c>
      <c r="P206" s="83"/>
      <c r="Q206" s="87"/>
      <c r="R206" s="83"/>
      <c r="S206" s="84">
        <v>90</v>
      </c>
      <c r="T206" s="83"/>
      <c r="U206" s="87"/>
      <c r="V206" s="83"/>
      <c r="W206" s="87"/>
      <c r="X206" s="83"/>
      <c r="Y206" s="87"/>
      <c r="Z206" s="83"/>
      <c r="AA206" s="87"/>
      <c r="AB206" s="83">
        <v>2</v>
      </c>
      <c r="AC206" s="90"/>
      <c r="AD206" s="84"/>
    </row>
    <row r="207" spans="1:30" ht="65.25" thickBot="1">
      <c r="A207" s="80"/>
      <c r="B207" s="22" t="s">
        <v>6</v>
      </c>
      <c r="C207" s="84">
        <f aca="true" t="shared" si="34" ref="C207:AD207">SUM(C203:C206)</f>
        <v>15</v>
      </c>
      <c r="D207" s="84">
        <f t="shared" si="34"/>
        <v>0</v>
      </c>
      <c r="E207" s="84">
        <f t="shared" si="34"/>
        <v>0</v>
      </c>
      <c r="F207" s="84">
        <f t="shared" si="34"/>
        <v>0</v>
      </c>
      <c r="G207" s="84">
        <f t="shared" si="34"/>
        <v>19</v>
      </c>
      <c r="H207" s="84">
        <f t="shared" si="34"/>
        <v>0</v>
      </c>
      <c r="I207" s="84">
        <f t="shared" si="34"/>
        <v>0</v>
      </c>
      <c r="J207" s="84">
        <f t="shared" si="34"/>
        <v>0</v>
      </c>
      <c r="K207" s="84">
        <f t="shared" si="34"/>
        <v>0</v>
      </c>
      <c r="L207" s="84">
        <f t="shared" si="34"/>
        <v>85</v>
      </c>
      <c r="M207" s="84">
        <f t="shared" si="34"/>
        <v>0</v>
      </c>
      <c r="N207" s="84">
        <f t="shared" si="34"/>
        <v>0</v>
      </c>
      <c r="O207" s="84">
        <f t="shared" si="34"/>
        <v>12</v>
      </c>
      <c r="P207" s="84">
        <f t="shared" si="34"/>
        <v>2</v>
      </c>
      <c r="Q207" s="84">
        <f t="shared" si="34"/>
        <v>0</v>
      </c>
      <c r="R207" s="84">
        <f t="shared" si="34"/>
        <v>0</v>
      </c>
      <c r="S207" s="84">
        <f t="shared" si="34"/>
        <v>203</v>
      </c>
      <c r="T207" s="84">
        <f t="shared" si="34"/>
        <v>0</v>
      </c>
      <c r="U207" s="84">
        <f t="shared" si="34"/>
        <v>0</v>
      </c>
      <c r="V207" s="84">
        <f t="shared" si="34"/>
        <v>0</v>
      </c>
      <c r="W207" s="84">
        <f t="shared" si="34"/>
        <v>0</v>
      </c>
      <c r="X207" s="84">
        <f t="shared" si="34"/>
        <v>0</v>
      </c>
      <c r="Y207" s="84">
        <f t="shared" si="34"/>
        <v>0</v>
      </c>
      <c r="Z207" s="84">
        <f t="shared" si="34"/>
        <v>0</v>
      </c>
      <c r="AA207" s="84">
        <f t="shared" si="34"/>
        <v>0</v>
      </c>
      <c r="AB207" s="84">
        <f t="shared" si="34"/>
        <v>2</v>
      </c>
      <c r="AC207" s="88">
        <f t="shared" si="34"/>
        <v>0</v>
      </c>
      <c r="AD207" s="84">
        <f t="shared" si="34"/>
        <v>0</v>
      </c>
    </row>
    <row r="208" spans="1:30" ht="194.25" thickBot="1">
      <c r="A208" s="145"/>
      <c r="B208" s="22" t="s">
        <v>148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8"/>
      <c r="AD208" s="84"/>
    </row>
    <row r="209" spans="1:30" s="82" customFormat="1" ht="65.25" thickBot="1">
      <c r="A209" s="83"/>
      <c r="B209" s="93" t="s">
        <v>10</v>
      </c>
      <c r="C209" s="103">
        <f aca="true" t="shared" si="35" ref="C209:AD209">C185+C188+C197+C201+C207</f>
        <v>55</v>
      </c>
      <c r="D209" s="103">
        <f t="shared" si="35"/>
        <v>40</v>
      </c>
      <c r="E209" s="103">
        <f t="shared" si="35"/>
        <v>0.9</v>
      </c>
      <c r="F209" s="103">
        <f t="shared" si="35"/>
        <v>0</v>
      </c>
      <c r="G209" s="103">
        <f t="shared" si="35"/>
        <v>77</v>
      </c>
      <c r="H209" s="103">
        <f t="shared" si="35"/>
        <v>25</v>
      </c>
      <c r="I209" s="103">
        <f t="shared" si="35"/>
        <v>30</v>
      </c>
      <c r="J209" s="103">
        <f t="shared" si="35"/>
        <v>102.2</v>
      </c>
      <c r="K209" s="103">
        <f t="shared" si="35"/>
        <v>100</v>
      </c>
      <c r="L209" s="103">
        <f t="shared" si="35"/>
        <v>85</v>
      </c>
      <c r="M209" s="103">
        <f t="shared" si="35"/>
        <v>15</v>
      </c>
      <c r="N209" s="103">
        <f t="shared" si="35"/>
        <v>30</v>
      </c>
      <c r="O209" s="103">
        <f t="shared" si="35"/>
        <v>33</v>
      </c>
      <c r="P209" s="103">
        <f t="shared" si="35"/>
        <v>17.5</v>
      </c>
      <c r="Q209" s="103">
        <f t="shared" si="35"/>
        <v>4.3</v>
      </c>
      <c r="R209" s="103">
        <f t="shared" si="35"/>
        <v>0</v>
      </c>
      <c r="S209" s="103">
        <f t="shared" si="35"/>
        <v>358</v>
      </c>
      <c r="T209" s="103">
        <f t="shared" si="35"/>
        <v>0</v>
      </c>
      <c r="U209" s="103">
        <f t="shared" si="35"/>
        <v>0</v>
      </c>
      <c r="V209" s="103">
        <f t="shared" si="35"/>
        <v>85</v>
      </c>
      <c r="W209" s="103">
        <f t="shared" si="35"/>
        <v>0</v>
      </c>
      <c r="X209" s="103">
        <f t="shared" si="35"/>
        <v>0</v>
      </c>
      <c r="Y209" s="103">
        <f t="shared" si="35"/>
        <v>7</v>
      </c>
      <c r="Z209" s="103">
        <f t="shared" si="35"/>
        <v>0</v>
      </c>
      <c r="AA209" s="103">
        <f t="shared" si="35"/>
        <v>0.48</v>
      </c>
      <c r="AB209" s="103">
        <f t="shared" si="35"/>
        <v>2</v>
      </c>
      <c r="AC209" s="104">
        <f t="shared" si="35"/>
        <v>0</v>
      </c>
      <c r="AD209" s="103">
        <f t="shared" si="35"/>
        <v>0</v>
      </c>
    </row>
    <row r="210" spans="1:30" s="82" customFormat="1" ht="65.25" thickBot="1">
      <c r="A210" s="150" t="s">
        <v>62</v>
      </c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2"/>
    </row>
    <row r="211" spans="1:30" ht="65.25" thickBot="1">
      <c r="A211" s="150" t="s">
        <v>18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2"/>
    </row>
    <row r="212" spans="1:30" ht="45.75" customHeight="1">
      <c r="A212" s="166" t="s">
        <v>30</v>
      </c>
      <c r="B212" s="168" t="s">
        <v>23</v>
      </c>
      <c r="C212" s="153" t="s">
        <v>116</v>
      </c>
      <c r="D212" s="153" t="s">
        <v>117</v>
      </c>
      <c r="E212" s="153" t="s">
        <v>118</v>
      </c>
      <c r="F212" s="153" t="s">
        <v>119</v>
      </c>
      <c r="G212" s="153" t="s">
        <v>120</v>
      </c>
      <c r="H212" s="153" t="s">
        <v>121</v>
      </c>
      <c r="I212" s="153" t="s">
        <v>110</v>
      </c>
      <c r="J212" s="153" t="s">
        <v>257</v>
      </c>
      <c r="K212" s="140"/>
      <c r="L212" s="153" t="s">
        <v>142</v>
      </c>
      <c r="M212" s="153" t="s">
        <v>79</v>
      </c>
      <c r="N212" s="153" t="s">
        <v>123</v>
      </c>
      <c r="O212" s="153" t="s">
        <v>80</v>
      </c>
      <c r="P212" s="153" t="s">
        <v>124</v>
      </c>
      <c r="Q212" s="153" t="s">
        <v>81</v>
      </c>
      <c r="R212" s="153" t="s">
        <v>125</v>
      </c>
      <c r="S212" s="153" t="s">
        <v>126</v>
      </c>
      <c r="T212" s="153" t="s">
        <v>127</v>
      </c>
      <c r="U212" s="140"/>
      <c r="V212" s="153" t="s">
        <v>113</v>
      </c>
      <c r="W212" s="153" t="s">
        <v>129</v>
      </c>
      <c r="X212" s="153" t="s">
        <v>84</v>
      </c>
      <c r="Y212" s="153" t="s">
        <v>82</v>
      </c>
      <c r="Z212" s="153" t="s">
        <v>83</v>
      </c>
      <c r="AA212" s="153" t="s">
        <v>85</v>
      </c>
      <c r="AB212" s="140"/>
      <c r="AC212" s="158" t="s">
        <v>78</v>
      </c>
      <c r="AD212" s="153" t="s">
        <v>138</v>
      </c>
    </row>
    <row r="213" spans="1:30" ht="409.5" customHeight="1" thickBot="1">
      <c r="A213" s="167"/>
      <c r="B213" s="169"/>
      <c r="C213" s="154"/>
      <c r="D213" s="154"/>
      <c r="E213" s="154"/>
      <c r="F213" s="154"/>
      <c r="G213" s="154"/>
      <c r="H213" s="154"/>
      <c r="I213" s="154"/>
      <c r="J213" s="154"/>
      <c r="K213" s="141" t="s">
        <v>122</v>
      </c>
      <c r="L213" s="154"/>
      <c r="M213" s="154"/>
      <c r="N213" s="154"/>
      <c r="O213" s="154"/>
      <c r="P213" s="154"/>
      <c r="Q213" s="154"/>
      <c r="R213" s="154"/>
      <c r="S213" s="154"/>
      <c r="T213" s="154"/>
      <c r="U213" s="141" t="s">
        <v>128</v>
      </c>
      <c r="V213" s="154"/>
      <c r="W213" s="154"/>
      <c r="X213" s="154"/>
      <c r="Y213" s="154"/>
      <c r="Z213" s="154"/>
      <c r="AA213" s="154"/>
      <c r="AB213" s="141" t="s">
        <v>77</v>
      </c>
      <c r="AC213" s="159"/>
      <c r="AD213" s="154"/>
    </row>
    <row r="214" spans="1:30" ht="65.25" thickBot="1">
      <c r="A214" s="145">
        <v>1</v>
      </c>
      <c r="B214" s="79">
        <v>2</v>
      </c>
      <c r="C214" s="80" t="s">
        <v>54</v>
      </c>
      <c r="D214" s="81">
        <v>4</v>
      </c>
      <c r="E214" s="80">
        <v>5</v>
      </c>
      <c r="F214" s="80">
        <v>6</v>
      </c>
      <c r="G214" s="80">
        <v>7</v>
      </c>
      <c r="H214" s="80">
        <v>8</v>
      </c>
      <c r="I214" s="80" t="s">
        <v>55</v>
      </c>
      <c r="J214" s="81">
        <v>10</v>
      </c>
      <c r="K214" s="80">
        <v>11</v>
      </c>
      <c r="L214" s="80">
        <v>12</v>
      </c>
      <c r="M214" s="80">
        <v>13</v>
      </c>
      <c r="N214" s="80">
        <v>14</v>
      </c>
      <c r="O214" s="80">
        <v>15</v>
      </c>
      <c r="P214" s="143">
        <v>16</v>
      </c>
      <c r="Q214" s="80">
        <v>17</v>
      </c>
      <c r="R214" s="143">
        <v>18</v>
      </c>
      <c r="S214" s="80">
        <v>19</v>
      </c>
      <c r="T214" s="143">
        <v>20</v>
      </c>
      <c r="U214" s="143">
        <v>21</v>
      </c>
      <c r="V214" s="80">
        <v>22</v>
      </c>
      <c r="W214" s="80">
        <v>23</v>
      </c>
      <c r="X214" s="143">
        <v>24</v>
      </c>
      <c r="Y214" s="80">
        <v>25</v>
      </c>
      <c r="Z214" s="80">
        <v>26</v>
      </c>
      <c r="AA214" s="80">
        <v>27</v>
      </c>
      <c r="AB214" s="143">
        <v>28</v>
      </c>
      <c r="AC214" s="142">
        <v>29</v>
      </c>
      <c r="AD214" s="80">
        <v>31</v>
      </c>
    </row>
    <row r="215" spans="1:30" ht="65.25" thickBot="1">
      <c r="A215" s="150" t="s">
        <v>5</v>
      </c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2"/>
    </row>
    <row r="216" spans="1:30" ht="141.75" customHeight="1" thickBot="1">
      <c r="A216" s="83">
        <v>14</v>
      </c>
      <c r="B216" s="25" t="s">
        <v>176</v>
      </c>
      <c r="C216" s="84"/>
      <c r="D216" s="86"/>
      <c r="E216" s="86"/>
      <c r="F216" s="86"/>
      <c r="G216" s="86">
        <v>23</v>
      </c>
      <c r="H216" s="86"/>
      <c r="I216" s="86"/>
      <c r="J216" s="86"/>
      <c r="K216" s="86"/>
      <c r="L216" s="86"/>
      <c r="M216" s="86"/>
      <c r="N216" s="83"/>
      <c r="O216" s="87">
        <v>4</v>
      </c>
      <c r="P216" s="83">
        <v>2</v>
      </c>
      <c r="Q216" s="87"/>
      <c r="R216" s="83"/>
      <c r="S216" s="87">
        <v>113</v>
      </c>
      <c r="T216" s="83"/>
      <c r="U216" s="87"/>
      <c r="V216" s="84"/>
      <c r="W216" s="87"/>
      <c r="X216" s="83"/>
      <c r="Y216" s="87"/>
      <c r="Z216" s="83"/>
      <c r="AA216" s="87"/>
      <c r="AB216" s="84"/>
      <c r="AC216" s="90"/>
      <c r="AD216" s="83"/>
    </row>
    <row r="217" spans="1:30" ht="65.25" thickBot="1">
      <c r="A217" s="84">
        <v>15</v>
      </c>
      <c r="B217" s="23" t="s">
        <v>224</v>
      </c>
      <c r="C217" s="84"/>
      <c r="D217" s="85"/>
      <c r="E217" s="85"/>
      <c r="F217" s="85"/>
      <c r="G217" s="85"/>
      <c r="H217" s="86"/>
      <c r="I217" s="86"/>
      <c r="J217" s="86"/>
      <c r="K217" s="86"/>
      <c r="L217" s="86"/>
      <c r="M217" s="86"/>
      <c r="N217" s="87"/>
      <c r="O217" s="84">
        <v>8</v>
      </c>
      <c r="P217" s="87"/>
      <c r="Q217" s="84"/>
      <c r="R217" s="87"/>
      <c r="S217" s="84">
        <v>90</v>
      </c>
      <c r="T217" s="84"/>
      <c r="U217" s="87"/>
      <c r="V217" s="84"/>
      <c r="W217" s="87"/>
      <c r="X217" s="84"/>
      <c r="Y217" s="84"/>
      <c r="Z217" s="87"/>
      <c r="AA217" s="84"/>
      <c r="AB217" s="84"/>
      <c r="AC217" s="90">
        <v>1.1</v>
      </c>
      <c r="AD217" s="83"/>
    </row>
    <row r="218" spans="1:30" ht="65.25" thickBot="1">
      <c r="A218" s="83">
        <v>16</v>
      </c>
      <c r="B218" s="22" t="s">
        <v>36</v>
      </c>
      <c r="C218" s="86">
        <v>20</v>
      </c>
      <c r="D218" s="85"/>
      <c r="E218" s="85"/>
      <c r="F218" s="85"/>
      <c r="G218" s="85"/>
      <c r="H218" s="86"/>
      <c r="I218" s="86"/>
      <c r="J218" s="86"/>
      <c r="K218" s="86"/>
      <c r="L218" s="86"/>
      <c r="M218" s="86"/>
      <c r="N218" s="87"/>
      <c r="O218" s="84"/>
      <c r="P218" s="84">
        <v>5</v>
      </c>
      <c r="Q218" s="84"/>
      <c r="R218" s="87"/>
      <c r="S218" s="84"/>
      <c r="T218" s="87"/>
      <c r="U218" s="83"/>
      <c r="V218" s="84"/>
      <c r="W218" s="83"/>
      <c r="X218" s="87"/>
      <c r="Y218" s="84"/>
      <c r="Z218" s="84"/>
      <c r="AA218" s="87"/>
      <c r="AB218" s="83"/>
      <c r="AC218" s="88"/>
      <c r="AD218" s="84"/>
    </row>
    <row r="219" spans="1:30" ht="65.25" thickBot="1">
      <c r="A219" s="83"/>
      <c r="B219" s="22" t="s">
        <v>6</v>
      </c>
      <c r="C219" s="84">
        <f aca="true" t="shared" si="36" ref="C219:AD219">SUM(C216:C218)</f>
        <v>20</v>
      </c>
      <c r="D219" s="84">
        <f t="shared" si="36"/>
        <v>0</v>
      </c>
      <c r="E219" s="84">
        <f t="shared" si="36"/>
        <v>0</v>
      </c>
      <c r="F219" s="84">
        <f t="shared" si="36"/>
        <v>0</v>
      </c>
      <c r="G219" s="84">
        <f t="shared" si="36"/>
        <v>23</v>
      </c>
      <c r="H219" s="84">
        <f t="shared" si="36"/>
        <v>0</v>
      </c>
      <c r="I219" s="84">
        <f t="shared" si="36"/>
        <v>0</v>
      </c>
      <c r="J219" s="84">
        <f t="shared" si="36"/>
        <v>0</v>
      </c>
      <c r="K219" s="84">
        <f t="shared" si="36"/>
        <v>0</v>
      </c>
      <c r="L219" s="84">
        <f t="shared" si="36"/>
        <v>0</v>
      </c>
      <c r="M219" s="84">
        <f t="shared" si="36"/>
        <v>0</v>
      </c>
      <c r="N219" s="84">
        <f t="shared" si="36"/>
        <v>0</v>
      </c>
      <c r="O219" s="84">
        <f t="shared" si="36"/>
        <v>12</v>
      </c>
      <c r="P219" s="84">
        <f t="shared" si="36"/>
        <v>7</v>
      </c>
      <c r="Q219" s="84">
        <f t="shared" si="36"/>
        <v>0</v>
      </c>
      <c r="R219" s="84">
        <f t="shared" si="36"/>
        <v>0</v>
      </c>
      <c r="S219" s="84">
        <f t="shared" si="36"/>
        <v>203</v>
      </c>
      <c r="T219" s="84">
        <f t="shared" si="36"/>
        <v>0</v>
      </c>
      <c r="U219" s="84">
        <f t="shared" si="36"/>
        <v>0</v>
      </c>
      <c r="V219" s="84">
        <f t="shared" si="36"/>
        <v>0</v>
      </c>
      <c r="W219" s="84">
        <f t="shared" si="36"/>
        <v>0</v>
      </c>
      <c r="X219" s="84">
        <f t="shared" si="36"/>
        <v>0</v>
      </c>
      <c r="Y219" s="84">
        <f t="shared" si="36"/>
        <v>0</v>
      </c>
      <c r="Z219" s="84">
        <f t="shared" si="36"/>
        <v>0</v>
      </c>
      <c r="AA219" s="84">
        <f t="shared" si="36"/>
        <v>0</v>
      </c>
      <c r="AB219" s="84">
        <f t="shared" si="36"/>
        <v>0</v>
      </c>
      <c r="AC219" s="88">
        <f t="shared" si="36"/>
        <v>1.1</v>
      </c>
      <c r="AD219" s="84">
        <f t="shared" si="36"/>
        <v>0</v>
      </c>
    </row>
    <row r="220" spans="1:30" ht="65.25" thickBot="1">
      <c r="A220" s="155" t="s">
        <v>53</v>
      </c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7"/>
    </row>
    <row r="221" spans="1:30" ht="65.25" thickBot="1">
      <c r="A221" s="83" t="s">
        <v>32</v>
      </c>
      <c r="B221" s="25" t="s">
        <v>182</v>
      </c>
      <c r="C221" s="84"/>
      <c r="D221" s="86"/>
      <c r="E221" s="86"/>
      <c r="F221" s="86"/>
      <c r="G221" s="86"/>
      <c r="H221" s="86"/>
      <c r="I221" s="86"/>
      <c r="J221" s="86"/>
      <c r="K221" s="86">
        <v>100</v>
      </c>
      <c r="L221" s="86"/>
      <c r="M221" s="86"/>
      <c r="N221" s="87"/>
      <c r="O221" s="84"/>
      <c r="P221" s="87"/>
      <c r="Q221" s="84"/>
      <c r="R221" s="87"/>
      <c r="S221" s="84"/>
      <c r="T221" s="87"/>
      <c r="U221" s="84"/>
      <c r="V221" s="84"/>
      <c r="W221" s="87"/>
      <c r="X221" s="84"/>
      <c r="Y221" s="84"/>
      <c r="Z221" s="87"/>
      <c r="AA221" s="84"/>
      <c r="AB221" s="87"/>
      <c r="AC221" s="88"/>
      <c r="AD221" s="83"/>
    </row>
    <row r="222" spans="1:30" ht="65.25" thickBot="1">
      <c r="A222" s="83"/>
      <c r="B222" s="22" t="s">
        <v>29</v>
      </c>
      <c r="C222" s="86">
        <f>SUM(C221)</f>
        <v>0</v>
      </c>
      <c r="D222" s="86">
        <f>SUM(D221)</f>
        <v>0</v>
      </c>
      <c r="E222" s="86">
        <f aca="true" t="shared" si="37" ref="E222:AC222">SUM(E221)</f>
        <v>0</v>
      </c>
      <c r="F222" s="86">
        <f t="shared" si="37"/>
        <v>0</v>
      </c>
      <c r="G222" s="86">
        <f t="shared" si="37"/>
        <v>0</v>
      </c>
      <c r="H222" s="86">
        <f t="shared" si="37"/>
        <v>0</v>
      </c>
      <c r="I222" s="86">
        <f t="shared" si="37"/>
        <v>0</v>
      </c>
      <c r="J222" s="86">
        <f t="shared" si="37"/>
        <v>0</v>
      </c>
      <c r="K222" s="86">
        <f t="shared" si="37"/>
        <v>100</v>
      </c>
      <c r="L222" s="86">
        <f t="shared" si="37"/>
        <v>0</v>
      </c>
      <c r="M222" s="86">
        <f t="shared" si="37"/>
        <v>0</v>
      </c>
      <c r="N222" s="86">
        <f t="shared" si="37"/>
        <v>0</v>
      </c>
      <c r="O222" s="86">
        <f t="shared" si="37"/>
        <v>0</v>
      </c>
      <c r="P222" s="86">
        <f t="shared" si="37"/>
        <v>0</v>
      </c>
      <c r="Q222" s="86">
        <f t="shared" si="37"/>
        <v>0</v>
      </c>
      <c r="R222" s="86">
        <f t="shared" si="37"/>
        <v>0</v>
      </c>
      <c r="S222" s="86">
        <f t="shared" si="37"/>
        <v>0</v>
      </c>
      <c r="T222" s="86">
        <f t="shared" si="37"/>
        <v>0</v>
      </c>
      <c r="U222" s="86">
        <f t="shared" si="37"/>
        <v>0</v>
      </c>
      <c r="V222" s="86">
        <f t="shared" si="37"/>
        <v>0</v>
      </c>
      <c r="W222" s="86">
        <f t="shared" si="37"/>
        <v>0</v>
      </c>
      <c r="X222" s="86">
        <f t="shared" si="37"/>
        <v>0</v>
      </c>
      <c r="Y222" s="86">
        <f t="shared" si="37"/>
        <v>0</v>
      </c>
      <c r="Z222" s="86">
        <f t="shared" si="37"/>
        <v>0</v>
      </c>
      <c r="AA222" s="86">
        <f t="shared" si="37"/>
        <v>0</v>
      </c>
      <c r="AB222" s="86">
        <f t="shared" si="37"/>
        <v>0</v>
      </c>
      <c r="AC222" s="87">
        <f t="shared" si="37"/>
        <v>0</v>
      </c>
      <c r="AD222" s="83">
        <f>SUM(AD221)</f>
        <v>0</v>
      </c>
    </row>
    <row r="223" spans="1:30" ht="65.25" thickBot="1">
      <c r="A223" s="150" t="s">
        <v>8</v>
      </c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2"/>
    </row>
    <row r="224" spans="1:30" ht="194.25" thickBot="1">
      <c r="A224" s="84">
        <v>38</v>
      </c>
      <c r="B224" s="22" t="s">
        <v>268</v>
      </c>
      <c r="C224" s="84"/>
      <c r="D224" s="86"/>
      <c r="E224" s="86"/>
      <c r="F224" s="86"/>
      <c r="G224" s="86"/>
      <c r="H224" s="86"/>
      <c r="I224" s="86"/>
      <c r="J224" s="86">
        <v>35</v>
      </c>
      <c r="K224" s="86"/>
      <c r="L224" s="86"/>
      <c r="M224" s="86"/>
      <c r="N224" s="87"/>
      <c r="O224" s="83"/>
      <c r="P224" s="87"/>
      <c r="Q224" s="83"/>
      <c r="R224" s="87"/>
      <c r="S224" s="83"/>
      <c r="T224" s="87"/>
      <c r="U224" s="84"/>
      <c r="V224" s="83"/>
      <c r="W224" s="87"/>
      <c r="X224" s="84"/>
      <c r="Y224" s="83"/>
      <c r="Z224" s="87"/>
      <c r="AA224" s="83"/>
      <c r="AB224" s="84"/>
      <c r="AC224" s="88"/>
      <c r="AD224" s="80"/>
    </row>
    <row r="225" spans="1:30" ht="132.75" customHeight="1" thickBot="1">
      <c r="A225" s="83">
        <v>70</v>
      </c>
      <c r="B225" s="22" t="s">
        <v>41</v>
      </c>
      <c r="C225" s="84"/>
      <c r="D225" s="86"/>
      <c r="E225" s="86"/>
      <c r="F225" s="86"/>
      <c r="G225" s="86"/>
      <c r="H225" s="86"/>
      <c r="I225" s="86">
        <v>26</v>
      </c>
      <c r="J225" s="86">
        <v>55</v>
      </c>
      <c r="K225" s="86"/>
      <c r="L225" s="86"/>
      <c r="M225" s="86"/>
      <c r="N225" s="87"/>
      <c r="O225" s="83">
        <v>0.8</v>
      </c>
      <c r="P225" s="87">
        <v>2</v>
      </c>
      <c r="Q225" s="83"/>
      <c r="R225" s="87"/>
      <c r="S225" s="83"/>
      <c r="T225" s="87"/>
      <c r="U225" s="83"/>
      <c r="V225" s="83">
        <v>10</v>
      </c>
      <c r="W225" s="87"/>
      <c r="X225" s="83"/>
      <c r="Y225" s="84">
        <v>7</v>
      </c>
      <c r="Z225" s="87"/>
      <c r="AA225" s="83"/>
      <c r="AB225" s="83"/>
      <c r="AC225" s="87"/>
      <c r="AD225" s="83"/>
    </row>
    <row r="226" spans="1:30" ht="129.75" thickBot="1">
      <c r="A226" s="84">
        <v>58</v>
      </c>
      <c r="B226" s="22" t="s">
        <v>178</v>
      </c>
      <c r="C226" s="83"/>
      <c r="D226" s="86"/>
      <c r="E226" s="86"/>
      <c r="F226" s="86"/>
      <c r="G226" s="86"/>
      <c r="H226" s="86"/>
      <c r="I226" s="86"/>
      <c r="J226" s="86">
        <v>19.2</v>
      </c>
      <c r="K226" s="86"/>
      <c r="L226" s="86"/>
      <c r="M226" s="86"/>
      <c r="N226" s="86"/>
      <c r="O226" s="86"/>
      <c r="P226" s="86"/>
      <c r="Q226" s="86">
        <v>4</v>
      </c>
      <c r="R226" s="86"/>
      <c r="S226" s="86"/>
      <c r="T226" s="86"/>
      <c r="U226" s="86"/>
      <c r="V226" s="86"/>
      <c r="W226" s="86"/>
      <c r="X226" s="86">
        <v>92</v>
      </c>
      <c r="Y226" s="86"/>
      <c r="Z226" s="86"/>
      <c r="AA226" s="86"/>
      <c r="AB226" s="86"/>
      <c r="AC226" s="90"/>
      <c r="AD226" s="83"/>
    </row>
    <row r="227" spans="1:30" ht="65.25" thickBot="1">
      <c r="A227" s="84">
        <v>8</v>
      </c>
      <c r="B227" s="22" t="s">
        <v>37</v>
      </c>
      <c r="C227" s="84"/>
      <c r="D227" s="86"/>
      <c r="E227" s="86"/>
      <c r="F227" s="86"/>
      <c r="G227" s="86"/>
      <c r="H227" s="86"/>
      <c r="I227" s="86">
        <v>98</v>
      </c>
      <c r="J227" s="86"/>
      <c r="K227" s="86"/>
      <c r="L227" s="86"/>
      <c r="M227" s="86"/>
      <c r="N227" s="87"/>
      <c r="O227" s="83"/>
      <c r="P227" s="87">
        <v>4</v>
      </c>
      <c r="Q227" s="83"/>
      <c r="R227" s="87"/>
      <c r="S227" s="83">
        <v>18</v>
      </c>
      <c r="T227" s="90"/>
      <c r="U227" s="83"/>
      <c r="V227" s="83"/>
      <c r="W227" s="87"/>
      <c r="X227" s="83"/>
      <c r="Y227" s="83"/>
      <c r="Z227" s="87"/>
      <c r="AA227" s="83"/>
      <c r="AB227" s="87"/>
      <c r="AC227" s="90"/>
      <c r="AD227" s="83"/>
    </row>
    <row r="228" spans="1:30" ht="65.25" thickBot="1">
      <c r="A228" s="83">
        <v>9</v>
      </c>
      <c r="B228" s="25" t="s">
        <v>225</v>
      </c>
      <c r="C228" s="84"/>
      <c r="D228" s="86"/>
      <c r="E228" s="86"/>
      <c r="F228" s="86"/>
      <c r="G228" s="86"/>
      <c r="H228" s="86"/>
      <c r="I228" s="86"/>
      <c r="J228" s="86"/>
      <c r="K228" s="86"/>
      <c r="L228" s="86"/>
      <c r="M228" s="86">
        <v>15</v>
      </c>
      <c r="N228" s="87"/>
      <c r="O228" s="84">
        <v>10</v>
      </c>
      <c r="P228" s="87"/>
      <c r="Q228" s="84"/>
      <c r="R228" s="87"/>
      <c r="S228" s="84"/>
      <c r="T228" s="87"/>
      <c r="U228" s="84"/>
      <c r="V228" s="84"/>
      <c r="W228" s="87"/>
      <c r="X228" s="84"/>
      <c r="Y228" s="84"/>
      <c r="Z228" s="87"/>
      <c r="AA228" s="84"/>
      <c r="AB228" s="87"/>
      <c r="AC228" s="88"/>
      <c r="AD228" s="83"/>
    </row>
    <row r="229" spans="1:30" ht="129.75" thickBot="1">
      <c r="A229" s="83" t="s">
        <v>32</v>
      </c>
      <c r="B229" s="22" t="s">
        <v>56</v>
      </c>
      <c r="C229" s="84">
        <v>20</v>
      </c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7"/>
      <c r="U229" s="83"/>
      <c r="V229" s="86"/>
      <c r="W229" s="87"/>
      <c r="X229" s="83"/>
      <c r="Y229" s="86"/>
      <c r="Z229" s="86"/>
      <c r="AA229" s="86"/>
      <c r="AB229" s="86"/>
      <c r="AC229" s="87"/>
      <c r="AD229" s="83"/>
    </row>
    <row r="230" spans="1:30" ht="129.75" thickBot="1">
      <c r="A230" s="83" t="s">
        <v>32</v>
      </c>
      <c r="B230" s="22" t="s">
        <v>58</v>
      </c>
      <c r="C230" s="84"/>
      <c r="D230" s="86">
        <v>40</v>
      </c>
      <c r="E230" s="86"/>
      <c r="F230" s="86"/>
      <c r="G230" s="86"/>
      <c r="H230" s="86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91"/>
      <c r="AD230" s="84"/>
    </row>
    <row r="231" spans="1:30" ht="65.25" thickBot="1">
      <c r="A231" s="84"/>
      <c r="B231" s="25" t="s">
        <v>29</v>
      </c>
      <c r="C231" s="84">
        <f aca="true" t="shared" si="38" ref="C231:AD231">SUM(C224:C230)</f>
        <v>20</v>
      </c>
      <c r="D231" s="84">
        <f t="shared" si="38"/>
        <v>40</v>
      </c>
      <c r="E231" s="84">
        <f t="shared" si="38"/>
        <v>0</v>
      </c>
      <c r="F231" s="84">
        <f t="shared" si="38"/>
        <v>0</v>
      </c>
      <c r="G231" s="84">
        <f t="shared" si="38"/>
        <v>0</v>
      </c>
      <c r="H231" s="84">
        <f t="shared" si="38"/>
        <v>0</v>
      </c>
      <c r="I231" s="84">
        <f t="shared" si="38"/>
        <v>124</v>
      </c>
      <c r="J231" s="84">
        <f t="shared" si="38"/>
        <v>109.2</v>
      </c>
      <c r="K231" s="84">
        <f t="shared" si="38"/>
        <v>0</v>
      </c>
      <c r="L231" s="84">
        <f t="shared" si="38"/>
        <v>0</v>
      </c>
      <c r="M231" s="84">
        <f t="shared" si="38"/>
        <v>15</v>
      </c>
      <c r="N231" s="84">
        <f t="shared" si="38"/>
        <v>0</v>
      </c>
      <c r="O231" s="84">
        <f t="shared" si="38"/>
        <v>10.8</v>
      </c>
      <c r="P231" s="84">
        <f t="shared" si="38"/>
        <v>6</v>
      </c>
      <c r="Q231" s="84">
        <f t="shared" si="38"/>
        <v>4</v>
      </c>
      <c r="R231" s="84">
        <f t="shared" si="38"/>
        <v>0</v>
      </c>
      <c r="S231" s="84">
        <f t="shared" si="38"/>
        <v>18</v>
      </c>
      <c r="T231" s="84">
        <f t="shared" si="38"/>
        <v>0</v>
      </c>
      <c r="U231" s="84">
        <f t="shared" si="38"/>
        <v>0</v>
      </c>
      <c r="V231" s="84">
        <f t="shared" si="38"/>
        <v>10</v>
      </c>
      <c r="W231" s="84">
        <f t="shared" si="38"/>
        <v>0</v>
      </c>
      <c r="X231" s="84">
        <f t="shared" si="38"/>
        <v>92</v>
      </c>
      <c r="Y231" s="84">
        <f t="shared" si="38"/>
        <v>7</v>
      </c>
      <c r="Z231" s="84">
        <f t="shared" si="38"/>
        <v>0</v>
      </c>
      <c r="AA231" s="84">
        <f t="shared" si="38"/>
        <v>0</v>
      </c>
      <c r="AB231" s="84">
        <f t="shared" si="38"/>
        <v>0</v>
      </c>
      <c r="AC231" s="88">
        <f t="shared" si="38"/>
        <v>0</v>
      </c>
      <c r="AD231" s="84">
        <f t="shared" si="38"/>
        <v>0</v>
      </c>
    </row>
    <row r="232" spans="1:30" ht="65.25" thickBot="1">
      <c r="A232" s="150" t="s">
        <v>145</v>
      </c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2"/>
    </row>
    <row r="233" spans="1:30" ht="194.25" thickBot="1">
      <c r="A233" s="92">
        <v>21.1</v>
      </c>
      <c r="B233" s="27" t="s">
        <v>172</v>
      </c>
      <c r="C233" s="83"/>
      <c r="D233" s="86"/>
      <c r="E233" s="83"/>
      <c r="F233" s="83"/>
      <c r="G233" s="83"/>
      <c r="H233" s="86"/>
      <c r="I233" s="86"/>
      <c r="J233" s="86"/>
      <c r="K233" s="86"/>
      <c r="L233" s="86"/>
      <c r="M233" s="86"/>
      <c r="N233" s="87"/>
      <c r="O233" s="84"/>
      <c r="P233" s="87"/>
      <c r="Q233" s="84"/>
      <c r="R233" s="87"/>
      <c r="S233" s="84">
        <v>155</v>
      </c>
      <c r="T233" s="87"/>
      <c r="U233" s="84"/>
      <c r="V233" s="84"/>
      <c r="W233" s="87"/>
      <c r="X233" s="84"/>
      <c r="Y233" s="84"/>
      <c r="Z233" s="87"/>
      <c r="AA233" s="84"/>
      <c r="AB233" s="84"/>
      <c r="AC233" s="88"/>
      <c r="AD233" s="83"/>
    </row>
    <row r="234" spans="1:30" ht="65.25" thickBot="1">
      <c r="A234" s="83">
        <v>17</v>
      </c>
      <c r="B234" s="23" t="s">
        <v>210</v>
      </c>
      <c r="C234" s="84"/>
      <c r="D234" s="86"/>
      <c r="E234" s="86">
        <v>33.7</v>
      </c>
      <c r="F234" s="86"/>
      <c r="G234" s="86"/>
      <c r="H234" s="86"/>
      <c r="I234" s="86"/>
      <c r="J234" s="86"/>
      <c r="K234" s="86"/>
      <c r="L234" s="86"/>
      <c r="M234" s="86"/>
      <c r="N234" s="86"/>
      <c r="O234" s="86">
        <v>17</v>
      </c>
      <c r="P234" s="86">
        <v>8</v>
      </c>
      <c r="Q234" s="86">
        <v>0.9</v>
      </c>
      <c r="R234" s="86">
        <v>2.9</v>
      </c>
      <c r="S234" s="86">
        <v>6</v>
      </c>
      <c r="T234" s="86"/>
      <c r="U234" s="86"/>
      <c r="V234" s="86"/>
      <c r="W234" s="86"/>
      <c r="X234" s="86"/>
      <c r="Y234" s="86"/>
      <c r="Z234" s="86"/>
      <c r="AA234" s="86"/>
      <c r="AB234" s="86"/>
      <c r="AC234" s="87"/>
      <c r="AD234" s="83"/>
    </row>
    <row r="235" spans="1:30" ht="65.25" thickBot="1">
      <c r="A235" s="84"/>
      <c r="B235" s="25" t="s">
        <v>29</v>
      </c>
      <c r="C235" s="84">
        <f aca="true" t="shared" si="39" ref="C235:AD235">C233+C234</f>
        <v>0</v>
      </c>
      <c r="D235" s="84">
        <f t="shared" si="39"/>
        <v>0</v>
      </c>
      <c r="E235" s="84">
        <f t="shared" si="39"/>
        <v>33.7</v>
      </c>
      <c r="F235" s="84">
        <f t="shared" si="39"/>
        <v>0</v>
      </c>
      <c r="G235" s="84">
        <f t="shared" si="39"/>
        <v>0</v>
      </c>
      <c r="H235" s="84">
        <f t="shared" si="39"/>
        <v>0</v>
      </c>
      <c r="I235" s="84">
        <f t="shared" si="39"/>
        <v>0</v>
      </c>
      <c r="J235" s="84">
        <f t="shared" si="39"/>
        <v>0</v>
      </c>
      <c r="K235" s="84">
        <f t="shared" si="39"/>
        <v>0</v>
      </c>
      <c r="L235" s="84">
        <f t="shared" si="39"/>
        <v>0</v>
      </c>
      <c r="M235" s="84">
        <f t="shared" si="39"/>
        <v>0</v>
      </c>
      <c r="N235" s="84">
        <f t="shared" si="39"/>
        <v>0</v>
      </c>
      <c r="O235" s="84">
        <f t="shared" si="39"/>
        <v>17</v>
      </c>
      <c r="P235" s="84">
        <f t="shared" si="39"/>
        <v>8</v>
      </c>
      <c r="Q235" s="84">
        <f t="shared" si="39"/>
        <v>0.9</v>
      </c>
      <c r="R235" s="84">
        <f t="shared" si="39"/>
        <v>2.9</v>
      </c>
      <c r="S235" s="84">
        <f t="shared" si="39"/>
        <v>161</v>
      </c>
      <c r="T235" s="84">
        <f t="shared" si="39"/>
        <v>0</v>
      </c>
      <c r="U235" s="84">
        <f t="shared" si="39"/>
        <v>0</v>
      </c>
      <c r="V235" s="84">
        <f t="shared" si="39"/>
        <v>0</v>
      </c>
      <c r="W235" s="84">
        <f t="shared" si="39"/>
        <v>0</v>
      </c>
      <c r="X235" s="84">
        <f t="shared" si="39"/>
        <v>0</v>
      </c>
      <c r="Y235" s="84">
        <f t="shared" si="39"/>
        <v>0</v>
      </c>
      <c r="Z235" s="84">
        <f t="shared" si="39"/>
        <v>0</v>
      </c>
      <c r="AA235" s="84">
        <f t="shared" si="39"/>
        <v>0</v>
      </c>
      <c r="AB235" s="84">
        <f t="shared" si="39"/>
        <v>0</v>
      </c>
      <c r="AC235" s="88">
        <f t="shared" si="39"/>
        <v>0</v>
      </c>
      <c r="AD235" s="84">
        <f t="shared" si="39"/>
        <v>0</v>
      </c>
    </row>
    <row r="236" spans="1:30" ht="65.25" thickBot="1">
      <c r="A236" s="150" t="s">
        <v>144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2"/>
    </row>
    <row r="237" spans="1:30" ht="174.75" customHeight="1" thickBot="1">
      <c r="A237" s="83">
        <v>27</v>
      </c>
      <c r="B237" s="22" t="s">
        <v>73</v>
      </c>
      <c r="C237" s="84"/>
      <c r="D237" s="86"/>
      <c r="E237" s="86"/>
      <c r="F237" s="86"/>
      <c r="G237" s="86"/>
      <c r="H237" s="86"/>
      <c r="I237" s="86">
        <v>115</v>
      </c>
      <c r="J237" s="86">
        <v>101</v>
      </c>
      <c r="K237" s="86"/>
      <c r="L237" s="86"/>
      <c r="M237" s="86"/>
      <c r="N237" s="83"/>
      <c r="O237" s="87"/>
      <c r="P237" s="83">
        <v>3</v>
      </c>
      <c r="Q237" s="87">
        <v>3</v>
      </c>
      <c r="R237" s="83"/>
      <c r="S237" s="87"/>
      <c r="T237" s="90"/>
      <c r="U237" s="83"/>
      <c r="V237" s="83"/>
      <c r="W237" s="87"/>
      <c r="X237" s="83"/>
      <c r="Y237" s="87"/>
      <c r="Z237" s="83"/>
      <c r="AA237" s="83"/>
      <c r="AB237" s="87"/>
      <c r="AC237" s="90"/>
      <c r="AD237" s="83"/>
    </row>
    <row r="238" spans="1:30" ht="174.75" customHeight="1" thickBot="1">
      <c r="A238" s="83" t="s">
        <v>32</v>
      </c>
      <c r="B238" s="22" t="s">
        <v>56</v>
      </c>
      <c r="C238" s="86">
        <v>15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7"/>
      <c r="U238" s="83"/>
      <c r="V238" s="86"/>
      <c r="W238" s="87"/>
      <c r="X238" s="83"/>
      <c r="Y238" s="86"/>
      <c r="Z238" s="86"/>
      <c r="AA238" s="86"/>
      <c r="AB238" s="86"/>
      <c r="AC238" s="90"/>
      <c r="AD238" s="83"/>
    </row>
    <row r="239" spans="1:30" ht="174.75" customHeight="1" thickBot="1">
      <c r="A239" s="83">
        <v>69</v>
      </c>
      <c r="B239" s="22" t="s">
        <v>106</v>
      </c>
      <c r="C239" s="84"/>
      <c r="D239" s="86"/>
      <c r="E239" s="86"/>
      <c r="F239" s="86"/>
      <c r="G239" s="86"/>
      <c r="H239" s="86"/>
      <c r="I239" s="86"/>
      <c r="J239" s="86"/>
      <c r="K239" s="86"/>
      <c r="L239" s="86">
        <v>85</v>
      </c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7"/>
      <c r="AD239" s="84"/>
    </row>
    <row r="240" spans="1:30" ht="65.25" thickBot="1">
      <c r="A240" s="89">
        <v>31</v>
      </c>
      <c r="B240" s="23" t="s">
        <v>9</v>
      </c>
      <c r="C240" s="84"/>
      <c r="D240" s="86"/>
      <c r="E240" s="86"/>
      <c r="F240" s="86"/>
      <c r="G240" s="86"/>
      <c r="H240" s="86"/>
      <c r="I240" s="86"/>
      <c r="J240" s="86"/>
      <c r="K240" s="86"/>
      <c r="L240" s="86">
        <v>4</v>
      </c>
      <c r="M240" s="86"/>
      <c r="N240" s="86"/>
      <c r="O240" s="84">
        <v>10</v>
      </c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4">
        <v>0.48</v>
      </c>
      <c r="AB240" s="86"/>
      <c r="AC240" s="87"/>
      <c r="AD240" s="83"/>
    </row>
    <row r="241" spans="1:30" ht="65.25" thickBot="1">
      <c r="A241" s="80"/>
      <c r="B241" s="22" t="s">
        <v>6</v>
      </c>
      <c r="C241" s="84">
        <f aca="true" t="shared" si="40" ref="C241:AD241">SUM(C237:C240)</f>
        <v>15</v>
      </c>
      <c r="D241" s="84">
        <f t="shared" si="40"/>
        <v>0</v>
      </c>
      <c r="E241" s="84">
        <f t="shared" si="40"/>
        <v>0</v>
      </c>
      <c r="F241" s="84">
        <f t="shared" si="40"/>
        <v>0</v>
      </c>
      <c r="G241" s="84">
        <f t="shared" si="40"/>
        <v>0</v>
      </c>
      <c r="H241" s="84">
        <f t="shared" si="40"/>
        <v>0</v>
      </c>
      <c r="I241" s="84">
        <f t="shared" si="40"/>
        <v>115</v>
      </c>
      <c r="J241" s="84">
        <f t="shared" si="40"/>
        <v>101</v>
      </c>
      <c r="K241" s="84">
        <f t="shared" si="40"/>
        <v>0</v>
      </c>
      <c r="L241" s="84">
        <f t="shared" si="40"/>
        <v>89</v>
      </c>
      <c r="M241" s="84">
        <f t="shared" si="40"/>
        <v>0</v>
      </c>
      <c r="N241" s="84">
        <f t="shared" si="40"/>
        <v>0</v>
      </c>
      <c r="O241" s="84">
        <f t="shared" si="40"/>
        <v>10</v>
      </c>
      <c r="P241" s="84">
        <f t="shared" si="40"/>
        <v>3</v>
      </c>
      <c r="Q241" s="84">
        <f t="shared" si="40"/>
        <v>3</v>
      </c>
      <c r="R241" s="84">
        <f t="shared" si="40"/>
        <v>0</v>
      </c>
      <c r="S241" s="84">
        <f t="shared" si="40"/>
        <v>0</v>
      </c>
      <c r="T241" s="84">
        <f t="shared" si="40"/>
        <v>0</v>
      </c>
      <c r="U241" s="84">
        <f t="shared" si="40"/>
        <v>0</v>
      </c>
      <c r="V241" s="84">
        <f t="shared" si="40"/>
        <v>0</v>
      </c>
      <c r="W241" s="84">
        <f t="shared" si="40"/>
        <v>0</v>
      </c>
      <c r="X241" s="84">
        <f t="shared" si="40"/>
        <v>0</v>
      </c>
      <c r="Y241" s="84">
        <f t="shared" si="40"/>
        <v>0</v>
      </c>
      <c r="Z241" s="84">
        <f t="shared" si="40"/>
        <v>0</v>
      </c>
      <c r="AA241" s="84">
        <f t="shared" si="40"/>
        <v>0.48</v>
      </c>
      <c r="AB241" s="84">
        <f t="shared" si="40"/>
        <v>0</v>
      </c>
      <c r="AC241" s="88">
        <f t="shared" si="40"/>
        <v>0</v>
      </c>
      <c r="AD241" s="84">
        <f t="shared" si="40"/>
        <v>0</v>
      </c>
    </row>
    <row r="242" spans="1:30" ht="194.25" thickBot="1">
      <c r="A242" s="145"/>
      <c r="B242" s="22" t="s">
        <v>148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8"/>
      <c r="AD242" s="84"/>
    </row>
    <row r="243" spans="1:30" ht="65.25" thickBot="1">
      <c r="A243" s="83"/>
      <c r="B243" s="93" t="s">
        <v>10</v>
      </c>
      <c r="C243" s="84">
        <f aca="true" t="shared" si="41" ref="C243:AD243">C219+C222+C231+C235+C241</f>
        <v>55</v>
      </c>
      <c r="D243" s="84">
        <f t="shared" si="41"/>
        <v>40</v>
      </c>
      <c r="E243" s="84">
        <f t="shared" si="41"/>
        <v>33.7</v>
      </c>
      <c r="F243" s="84">
        <f t="shared" si="41"/>
        <v>0</v>
      </c>
      <c r="G243" s="84">
        <f t="shared" si="41"/>
        <v>23</v>
      </c>
      <c r="H243" s="84">
        <f t="shared" si="41"/>
        <v>0</v>
      </c>
      <c r="I243" s="84">
        <f t="shared" si="41"/>
        <v>239</v>
      </c>
      <c r="J243" s="84">
        <f t="shared" si="41"/>
        <v>210.2</v>
      </c>
      <c r="K243" s="84">
        <f t="shared" si="41"/>
        <v>100</v>
      </c>
      <c r="L243" s="84">
        <f t="shared" si="41"/>
        <v>89</v>
      </c>
      <c r="M243" s="84">
        <f t="shared" si="41"/>
        <v>15</v>
      </c>
      <c r="N243" s="84">
        <f t="shared" si="41"/>
        <v>0</v>
      </c>
      <c r="O243" s="84">
        <f t="shared" si="41"/>
        <v>49.8</v>
      </c>
      <c r="P243" s="84">
        <f t="shared" si="41"/>
        <v>24</v>
      </c>
      <c r="Q243" s="84">
        <f t="shared" si="41"/>
        <v>7.9</v>
      </c>
      <c r="R243" s="84">
        <f t="shared" si="41"/>
        <v>2.9</v>
      </c>
      <c r="S243" s="84">
        <f t="shared" si="41"/>
        <v>382</v>
      </c>
      <c r="T243" s="84">
        <f t="shared" si="41"/>
        <v>0</v>
      </c>
      <c r="U243" s="84">
        <f t="shared" si="41"/>
        <v>0</v>
      </c>
      <c r="V243" s="84">
        <f t="shared" si="41"/>
        <v>10</v>
      </c>
      <c r="W243" s="84">
        <f t="shared" si="41"/>
        <v>0</v>
      </c>
      <c r="X243" s="84">
        <f t="shared" si="41"/>
        <v>92</v>
      </c>
      <c r="Y243" s="84">
        <f t="shared" si="41"/>
        <v>7</v>
      </c>
      <c r="Z243" s="84">
        <f t="shared" si="41"/>
        <v>0</v>
      </c>
      <c r="AA243" s="84">
        <f t="shared" si="41"/>
        <v>0.48</v>
      </c>
      <c r="AB243" s="84">
        <f t="shared" si="41"/>
        <v>0</v>
      </c>
      <c r="AC243" s="88">
        <f t="shared" si="41"/>
        <v>1.1</v>
      </c>
      <c r="AD243" s="84">
        <f t="shared" si="41"/>
        <v>0</v>
      </c>
    </row>
    <row r="244" spans="1:30" ht="65.25" thickBot="1">
      <c r="A244" s="150" t="s">
        <v>62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2"/>
    </row>
    <row r="245" spans="1:30" ht="65.25" thickBot="1">
      <c r="A245" s="150" t="s">
        <v>19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2"/>
    </row>
    <row r="246" spans="1:30" ht="45.75" customHeight="1">
      <c r="A246" s="166" t="s">
        <v>30</v>
      </c>
      <c r="B246" s="168" t="s">
        <v>23</v>
      </c>
      <c r="C246" s="153" t="s">
        <v>116</v>
      </c>
      <c r="D246" s="153" t="s">
        <v>117</v>
      </c>
      <c r="E246" s="153" t="s">
        <v>118</v>
      </c>
      <c r="F246" s="153" t="s">
        <v>119</v>
      </c>
      <c r="G246" s="153" t="s">
        <v>120</v>
      </c>
      <c r="H246" s="153" t="s">
        <v>121</v>
      </c>
      <c r="I246" s="153" t="s">
        <v>110</v>
      </c>
      <c r="J246" s="153" t="s">
        <v>257</v>
      </c>
      <c r="K246" s="140"/>
      <c r="L246" s="153" t="s">
        <v>142</v>
      </c>
      <c r="M246" s="153" t="s">
        <v>79</v>
      </c>
      <c r="N246" s="153" t="s">
        <v>123</v>
      </c>
      <c r="O246" s="153" t="s">
        <v>80</v>
      </c>
      <c r="P246" s="153" t="s">
        <v>124</v>
      </c>
      <c r="Q246" s="153" t="s">
        <v>81</v>
      </c>
      <c r="R246" s="153" t="s">
        <v>125</v>
      </c>
      <c r="S246" s="153" t="s">
        <v>126</v>
      </c>
      <c r="T246" s="153" t="s">
        <v>127</v>
      </c>
      <c r="U246" s="140"/>
      <c r="V246" s="153" t="s">
        <v>113</v>
      </c>
      <c r="W246" s="153" t="s">
        <v>129</v>
      </c>
      <c r="X246" s="153" t="s">
        <v>84</v>
      </c>
      <c r="Y246" s="153" t="s">
        <v>82</v>
      </c>
      <c r="Z246" s="153" t="s">
        <v>83</v>
      </c>
      <c r="AA246" s="153" t="s">
        <v>85</v>
      </c>
      <c r="AB246" s="140"/>
      <c r="AC246" s="158" t="s">
        <v>78</v>
      </c>
      <c r="AD246" s="153" t="s">
        <v>138</v>
      </c>
    </row>
    <row r="247" spans="1:30" ht="409.5" customHeight="1" thickBot="1">
      <c r="A247" s="167"/>
      <c r="B247" s="169"/>
      <c r="C247" s="154"/>
      <c r="D247" s="154"/>
      <c r="E247" s="154"/>
      <c r="F247" s="154"/>
      <c r="G247" s="154"/>
      <c r="H247" s="154"/>
      <c r="I247" s="154"/>
      <c r="J247" s="154"/>
      <c r="K247" s="141" t="s">
        <v>122</v>
      </c>
      <c r="L247" s="154"/>
      <c r="M247" s="154"/>
      <c r="N247" s="154"/>
      <c r="O247" s="154"/>
      <c r="P247" s="154"/>
      <c r="Q247" s="154"/>
      <c r="R247" s="154"/>
      <c r="S247" s="154"/>
      <c r="T247" s="154"/>
      <c r="U247" s="141" t="s">
        <v>128</v>
      </c>
      <c r="V247" s="154"/>
      <c r="W247" s="154"/>
      <c r="X247" s="154"/>
      <c r="Y247" s="154"/>
      <c r="Z247" s="154"/>
      <c r="AA247" s="154"/>
      <c r="AB247" s="141" t="s">
        <v>77</v>
      </c>
      <c r="AC247" s="159"/>
      <c r="AD247" s="154"/>
    </row>
    <row r="248" spans="1:30" ht="65.25" thickBot="1">
      <c r="A248" s="145">
        <v>1</v>
      </c>
      <c r="B248" s="79">
        <v>2</v>
      </c>
      <c r="C248" s="80" t="s">
        <v>54</v>
      </c>
      <c r="D248" s="81">
        <v>4</v>
      </c>
      <c r="E248" s="80">
        <v>5</v>
      </c>
      <c r="F248" s="80">
        <v>6</v>
      </c>
      <c r="G248" s="80">
        <v>7</v>
      </c>
      <c r="H248" s="80">
        <v>8</v>
      </c>
      <c r="I248" s="80" t="s">
        <v>55</v>
      </c>
      <c r="J248" s="81">
        <v>10</v>
      </c>
      <c r="K248" s="80">
        <v>11</v>
      </c>
      <c r="L248" s="80">
        <v>12</v>
      </c>
      <c r="M248" s="80">
        <v>13</v>
      </c>
      <c r="N248" s="80">
        <v>14</v>
      </c>
      <c r="O248" s="80">
        <v>15</v>
      </c>
      <c r="P248" s="143">
        <v>16</v>
      </c>
      <c r="Q248" s="80">
        <v>17</v>
      </c>
      <c r="R248" s="143">
        <v>18</v>
      </c>
      <c r="S248" s="80">
        <v>19</v>
      </c>
      <c r="T248" s="143">
        <v>20</v>
      </c>
      <c r="U248" s="143">
        <v>21</v>
      </c>
      <c r="V248" s="80">
        <v>22</v>
      </c>
      <c r="W248" s="80">
        <v>23</v>
      </c>
      <c r="X248" s="143">
        <v>24</v>
      </c>
      <c r="Y248" s="80">
        <v>25</v>
      </c>
      <c r="Z248" s="80">
        <v>26</v>
      </c>
      <c r="AA248" s="80">
        <v>27</v>
      </c>
      <c r="AB248" s="143">
        <v>28</v>
      </c>
      <c r="AC248" s="142">
        <v>29</v>
      </c>
      <c r="AD248" s="80">
        <v>31</v>
      </c>
    </row>
    <row r="249" spans="1:30" ht="65.25" thickBot="1">
      <c r="A249" s="150" t="s">
        <v>5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2"/>
    </row>
    <row r="250" spans="1:30" ht="129.75" thickBot="1">
      <c r="A250" s="84">
        <v>32</v>
      </c>
      <c r="B250" s="25" t="s">
        <v>218</v>
      </c>
      <c r="C250" s="84"/>
      <c r="D250" s="85"/>
      <c r="E250" s="85"/>
      <c r="F250" s="85"/>
      <c r="G250" s="85">
        <v>15</v>
      </c>
      <c r="H250" s="86"/>
      <c r="I250" s="86"/>
      <c r="J250" s="86"/>
      <c r="K250" s="86"/>
      <c r="L250" s="86"/>
      <c r="M250" s="86"/>
      <c r="N250" s="86"/>
      <c r="O250" s="86">
        <v>4</v>
      </c>
      <c r="P250" s="86">
        <v>2</v>
      </c>
      <c r="Q250" s="86"/>
      <c r="R250" s="86"/>
      <c r="S250" s="86">
        <v>113</v>
      </c>
      <c r="T250" s="87"/>
      <c r="U250" s="84"/>
      <c r="V250" s="87"/>
      <c r="W250" s="84"/>
      <c r="X250" s="86"/>
      <c r="Y250" s="86"/>
      <c r="Z250" s="86"/>
      <c r="AA250" s="86"/>
      <c r="AB250" s="86"/>
      <c r="AC250" s="87"/>
      <c r="AD250" s="83"/>
    </row>
    <row r="251" spans="1:30" ht="129.75" thickBot="1">
      <c r="A251" s="83">
        <v>2</v>
      </c>
      <c r="B251" s="22" t="s">
        <v>69</v>
      </c>
      <c r="C251" s="84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3"/>
      <c r="O251" s="84">
        <v>8</v>
      </c>
      <c r="P251" s="83"/>
      <c r="Q251" s="87"/>
      <c r="R251" s="83"/>
      <c r="S251" s="84">
        <v>90</v>
      </c>
      <c r="T251" s="83"/>
      <c r="U251" s="87"/>
      <c r="V251" s="83"/>
      <c r="W251" s="87"/>
      <c r="X251" s="83"/>
      <c r="Y251" s="87"/>
      <c r="Z251" s="83"/>
      <c r="AA251" s="87"/>
      <c r="AB251" s="83">
        <v>2</v>
      </c>
      <c r="AC251" s="90"/>
      <c r="AD251" s="84"/>
    </row>
    <row r="252" spans="1:30" ht="129.75" thickBot="1">
      <c r="A252" s="83">
        <v>3</v>
      </c>
      <c r="B252" s="22" t="s">
        <v>38</v>
      </c>
      <c r="C252" s="86">
        <v>20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3"/>
      <c r="O252" s="87"/>
      <c r="P252" s="84">
        <v>5</v>
      </c>
      <c r="Q252" s="87"/>
      <c r="R252" s="83"/>
      <c r="S252" s="87"/>
      <c r="T252" s="90"/>
      <c r="U252" s="83"/>
      <c r="V252" s="84"/>
      <c r="W252" s="87"/>
      <c r="X252" s="83"/>
      <c r="Y252" s="87"/>
      <c r="Z252" s="83">
        <v>9</v>
      </c>
      <c r="AA252" s="87"/>
      <c r="AB252" s="83"/>
      <c r="AC252" s="87"/>
      <c r="AD252" s="83"/>
    </row>
    <row r="253" spans="1:30" ht="65.25" thickBot="1">
      <c r="A253" s="83"/>
      <c r="B253" s="22" t="s">
        <v>6</v>
      </c>
      <c r="C253" s="84">
        <f>SUM(C250:C252)</f>
        <v>20</v>
      </c>
      <c r="D253" s="84">
        <f aca="true" t="shared" si="42" ref="D253:AD253">SUM(D250:D252)</f>
        <v>0</v>
      </c>
      <c r="E253" s="84">
        <f t="shared" si="42"/>
        <v>0</v>
      </c>
      <c r="F253" s="84">
        <f t="shared" si="42"/>
        <v>0</v>
      </c>
      <c r="G253" s="84">
        <f t="shared" si="42"/>
        <v>15</v>
      </c>
      <c r="H253" s="84">
        <f t="shared" si="42"/>
        <v>0</v>
      </c>
      <c r="I253" s="84">
        <f t="shared" si="42"/>
        <v>0</v>
      </c>
      <c r="J253" s="84">
        <f t="shared" si="42"/>
        <v>0</v>
      </c>
      <c r="K253" s="84">
        <f t="shared" si="42"/>
        <v>0</v>
      </c>
      <c r="L253" s="84">
        <f t="shared" si="42"/>
        <v>0</v>
      </c>
      <c r="M253" s="84">
        <f t="shared" si="42"/>
        <v>0</v>
      </c>
      <c r="N253" s="84">
        <f t="shared" si="42"/>
        <v>0</v>
      </c>
      <c r="O253" s="84">
        <f t="shared" si="42"/>
        <v>12</v>
      </c>
      <c r="P253" s="84">
        <f t="shared" si="42"/>
        <v>7</v>
      </c>
      <c r="Q253" s="84">
        <f t="shared" si="42"/>
        <v>0</v>
      </c>
      <c r="R253" s="84">
        <f t="shared" si="42"/>
        <v>0</v>
      </c>
      <c r="S253" s="84">
        <f t="shared" si="42"/>
        <v>203</v>
      </c>
      <c r="T253" s="84">
        <f t="shared" si="42"/>
        <v>0</v>
      </c>
      <c r="U253" s="84">
        <f t="shared" si="42"/>
        <v>0</v>
      </c>
      <c r="V253" s="84">
        <f t="shared" si="42"/>
        <v>0</v>
      </c>
      <c r="W253" s="84">
        <f t="shared" si="42"/>
        <v>0</v>
      </c>
      <c r="X253" s="84">
        <f t="shared" si="42"/>
        <v>0</v>
      </c>
      <c r="Y253" s="84">
        <f t="shared" si="42"/>
        <v>0</v>
      </c>
      <c r="Z253" s="84">
        <f t="shared" si="42"/>
        <v>9</v>
      </c>
      <c r="AA253" s="84">
        <f t="shared" si="42"/>
        <v>0</v>
      </c>
      <c r="AB253" s="84">
        <f t="shared" si="42"/>
        <v>2</v>
      </c>
      <c r="AC253" s="88">
        <f t="shared" si="42"/>
        <v>0</v>
      </c>
      <c r="AD253" s="84">
        <f t="shared" si="42"/>
        <v>0</v>
      </c>
    </row>
    <row r="254" spans="1:30" ht="65.25" thickBot="1">
      <c r="A254" s="155" t="s">
        <v>53</v>
      </c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7"/>
    </row>
    <row r="255" spans="1:30" ht="65.25" thickBot="1">
      <c r="A255" s="83" t="s">
        <v>32</v>
      </c>
      <c r="B255" s="25" t="s">
        <v>182</v>
      </c>
      <c r="C255" s="84"/>
      <c r="D255" s="86"/>
      <c r="E255" s="86"/>
      <c r="F255" s="86"/>
      <c r="G255" s="86"/>
      <c r="H255" s="86"/>
      <c r="I255" s="86"/>
      <c r="J255" s="86"/>
      <c r="K255" s="86">
        <v>100</v>
      </c>
      <c r="L255" s="86"/>
      <c r="M255" s="86"/>
      <c r="N255" s="87"/>
      <c r="O255" s="84"/>
      <c r="P255" s="87"/>
      <c r="Q255" s="84"/>
      <c r="R255" s="87"/>
      <c r="S255" s="84"/>
      <c r="T255" s="87"/>
      <c r="U255" s="84"/>
      <c r="V255" s="84"/>
      <c r="W255" s="87"/>
      <c r="X255" s="84"/>
      <c r="Y255" s="84"/>
      <c r="Z255" s="87"/>
      <c r="AA255" s="84"/>
      <c r="AB255" s="87"/>
      <c r="AC255" s="88"/>
      <c r="AD255" s="83"/>
    </row>
    <row r="256" spans="1:30" ht="65.25" thickBot="1">
      <c r="A256" s="83"/>
      <c r="B256" s="22" t="s">
        <v>29</v>
      </c>
      <c r="C256" s="86">
        <f>SUM(C255)</f>
        <v>0</v>
      </c>
      <c r="D256" s="86">
        <f>SUM(D255)</f>
        <v>0</v>
      </c>
      <c r="E256" s="86">
        <f aca="true" t="shared" si="43" ref="E256:AC256">SUM(E255)</f>
        <v>0</v>
      </c>
      <c r="F256" s="86">
        <f t="shared" si="43"/>
        <v>0</v>
      </c>
      <c r="G256" s="86">
        <f t="shared" si="43"/>
        <v>0</v>
      </c>
      <c r="H256" s="86">
        <f t="shared" si="43"/>
        <v>0</v>
      </c>
      <c r="I256" s="86">
        <f t="shared" si="43"/>
        <v>0</v>
      </c>
      <c r="J256" s="86">
        <f t="shared" si="43"/>
        <v>0</v>
      </c>
      <c r="K256" s="86">
        <f t="shared" si="43"/>
        <v>100</v>
      </c>
      <c r="L256" s="86">
        <f t="shared" si="43"/>
        <v>0</v>
      </c>
      <c r="M256" s="86">
        <f t="shared" si="43"/>
        <v>0</v>
      </c>
      <c r="N256" s="86">
        <f t="shared" si="43"/>
        <v>0</v>
      </c>
      <c r="O256" s="86">
        <f t="shared" si="43"/>
        <v>0</v>
      </c>
      <c r="P256" s="86">
        <f t="shared" si="43"/>
        <v>0</v>
      </c>
      <c r="Q256" s="86">
        <f t="shared" si="43"/>
        <v>0</v>
      </c>
      <c r="R256" s="86">
        <f t="shared" si="43"/>
        <v>0</v>
      </c>
      <c r="S256" s="86">
        <f t="shared" si="43"/>
        <v>0</v>
      </c>
      <c r="T256" s="86">
        <f t="shared" si="43"/>
        <v>0</v>
      </c>
      <c r="U256" s="86">
        <f t="shared" si="43"/>
        <v>0</v>
      </c>
      <c r="V256" s="86">
        <f t="shared" si="43"/>
        <v>0</v>
      </c>
      <c r="W256" s="86">
        <f t="shared" si="43"/>
        <v>0</v>
      </c>
      <c r="X256" s="86">
        <f t="shared" si="43"/>
        <v>0</v>
      </c>
      <c r="Y256" s="86">
        <f t="shared" si="43"/>
        <v>0</v>
      </c>
      <c r="Z256" s="86">
        <f t="shared" si="43"/>
        <v>0</v>
      </c>
      <c r="AA256" s="86">
        <f t="shared" si="43"/>
        <v>0</v>
      </c>
      <c r="AB256" s="86">
        <f t="shared" si="43"/>
        <v>0</v>
      </c>
      <c r="AC256" s="87">
        <f t="shared" si="43"/>
        <v>0</v>
      </c>
      <c r="AD256" s="83">
        <f>SUM(AD255)</f>
        <v>0</v>
      </c>
    </row>
    <row r="257" spans="1:30" ht="65.25" thickBot="1">
      <c r="A257" s="150" t="s">
        <v>8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2"/>
    </row>
    <row r="258" spans="1:30" ht="65.25" thickBot="1">
      <c r="A258" s="84">
        <v>51</v>
      </c>
      <c r="B258" s="22" t="s">
        <v>226</v>
      </c>
      <c r="C258" s="84"/>
      <c r="D258" s="86"/>
      <c r="E258" s="86"/>
      <c r="F258" s="86"/>
      <c r="G258" s="86"/>
      <c r="H258" s="86"/>
      <c r="I258" s="86"/>
      <c r="J258" s="86">
        <v>28.8</v>
      </c>
      <c r="K258" s="86"/>
      <c r="L258" s="86"/>
      <c r="M258" s="86"/>
      <c r="N258" s="87"/>
      <c r="O258" s="83"/>
      <c r="P258" s="87"/>
      <c r="Q258" s="83">
        <v>3</v>
      </c>
      <c r="R258" s="87"/>
      <c r="S258" s="83"/>
      <c r="T258" s="87"/>
      <c r="U258" s="84"/>
      <c r="V258" s="83"/>
      <c r="W258" s="87"/>
      <c r="X258" s="84"/>
      <c r="Y258" s="83"/>
      <c r="Z258" s="87"/>
      <c r="AA258" s="83"/>
      <c r="AB258" s="84"/>
      <c r="AC258" s="87"/>
      <c r="AD258" s="83"/>
    </row>
    <row r="259" spans="1:30" ht="129.75" thickBot="1">
      <c r="A259" s="83">
        <v>46</v>
      </c>
      <c r="B259" s="22" t="s">
        <v>72</v>
      </c>
      <c r="C259" s="84"/>
      <c r="D259" s="86"/>
      <c r="E259" s="86"/>
      <c r="F259" s="86"/>
      <c r="G259" s="86">
        <v>4</v>
      </c>
      <c r="H259" s="86"/>
      <c r="I259" s="86">
        <v>45</v>
      </c>
      <c r="J259" s="86">
        <v>17</v>
      </c>
      <c r="K259" s="86"/>
      <c r="L259" s="86"/>
      <c r="M259" s="86"/>
      <c r="N259" s="87"/>
      <c r="O259" s="83"/>
      <c r="P259" s="87">
        <v>2</v>
      </c>
      <c r="Q259" s="83"/>
      <c r="R259" s="87"/>
      <c r="S259" s="83"/>
      <c r="T259" s="87"/>
      <c r="U259" s="83"/>
      <c r="V259" s="83">
        <v>10</v>
      </c>
      <c r="W259" s="87"/>
      <c r="X259" s="83"/>
      <c r="Y259" s="84">
        <v>7</v>
      </c>
      <c r="Z259" s="87"/>
      <c r="AA259" s="83"/>
      <c r="AB259" s="83"/>
      <c r="AC259" s="87"/>
      <c r="AD259" s="83"/>
    </row>
    <row r="260" spans="1:30" ht="129.75" thickBot="1">
      <c r="A260" s="83">
        <v>81</v>
      </c>
      <c r="B260" s="22" t="s">
        <v>209</v>
      </c>
      <c r="C260" s="84"/>
      <c r="D260" s="86"/>
      <c r="E260" s="86">
        <v>1.5</v>
      </c>
      <c r="F260" s="86"/>
      <c r="G260" s="86"/>
      <c r="H260" s="86"/>
      <c r="I260" s="86"/>
      <c r="J260" s="86">
        <v>169.5</v>
      </c>
      <c r="K260" s="86"/>
      <c r="L260" s="86"/>
      <c r="M260" s="86"/>
      <c r="N260" s="86"/>
      <c r="O260" s="86">
        <v>3.5</v>
      </c>
      <c r="P260" s="86"/>
      <c r="Q260" s="86">
        <v>3.5</v>
      </c>
      <c r="R260" s="86"/>
      <c r="S260" s="86"/>
      <c r="T260" s="86"/>
      <c r="U260" s="86"/>
      <c r="V260" s="86">
        <v>89</v>
      </c>
      <c r="W260" s="86"/>
      <c r="X260" s="86"/>
      <c r="Y260" s="86"/>
      <c r="Z260" s="86"/>
      <c r="AA260" s="86"/>
      <c r="AB260" s="86"/>
      <c r="AC260" s="87"/>
      <c r="AD260" s="83"/>
    </row>
    <row r="261" spans="1:30" ht="194.25" thickBot="1">
      <c r="A261" s="83">
        <v>20</v>
      </c>
      <c r="B261" s="22" t="s">
        <v>232</v>
      </c>
      <c r="C261" s="84"/>
      <c r="D261" s="85"/>
      <c r="E261" s="85"/>
      <c r="F261" s="85">
        <v>6.8</v>
      </c>
      <c r="G261" s="85"/>
      <c r="H261" s="86"/>
      <c r="I261" s="86"/>
      <c r="J261" s="86"/>
      <c r="K261" s="86"/>
      <c r="L261" s="86"/>
      <c r="M261" s="86"/>
      <c r="N261" s="87"/>
      <c r="O261" s="84">
        <v>6</v>
      </c>
      <c r="P261" s="87"/>
      <c r="Q261" s="84"/>
      <c r="R261" s="87"/>
      <c r="S261" s="84"/>
      <c r="T261" s="87"/>
      <c r="U261" s="83"/>
      <c r="V261" s="84"/>
      <c r="W261" s="87"/>
      <c r="X261" s="83"/>
      <c r="Y261" s="84"/>
      <c r="Z261" s="84"/>
      <c r="AA261" s="87"/>
      <c r="AB261" s="83"/>
      <c r="AC261" s="88"/>
      <c r="AD261" s="83"/>
    </row>
    <row r="262" spans="1:30" ht="129.75" thickBot="1">
      <c r="A262" s="83" t="s">
        <v>32</v>
      </c>
      <c r="B262" s="22" t="s">
        <v>56</v>
      </c>
      <c r="C262" s="84">
        <v>20</v>
      </c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7"/>
      <c r="U262" s="83"/>
      <c r="V262" s="86"/>
      <c r="W262" s="87"/>
      <c r="X262" s="83"/>
      <c r="Y262" s="86"/>
      <c r="Z262" s="86"/>
      <c r="AA262" s="86"/>
      <c r="AB262" s="86"/>
      <c r="AC262" s="87"/>
      <c r="AD262" s="83"/>
    </row>
    <row r="263" spans="1:30" ht="129.75" thickBot="1">
      <c r="A263" s="83" t="s">
        <v>32</v>
      </c>
      <c r="B263" s="22" t="s">
        <v>58</v>
      </c>
      <c r="C263" s="84"/>
      <c r="D263" s="86">
        <v>40</v>
      </c>
      <c r="E263" s="86"/>
      <c r="F263" s="86"/>
      <c r="G263" s="86"/>
      <c r="H263" s="86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91"/>
      <c r="AD263" s="84"/>
    </row>
    <row r="264" spans="1:30" ht="65.25" thickBot="1">
      <c r="A264" s="84"/>
      <c r="B264" s="25" t="s">
        <v>29</v>
      </c>
      <c r="C264" s="84">
        <f aca="true" t="shared" si="44" ref="C264:AD264">SUM(C258:C263)</f>
        <v>20</v>
      </c>
      <c r="D264" s="84">
        <f t="shared" si="44"/>
        <v>40</v>
      </c>
      <c r="E264" s="84">
        <f t="shared" si="44"/>
        <v>1.5</v>
      </c>
      <c r="F264" s="84">
        <f t="shared" si="44"/>
        <v>6.8</v>
      </c>
      <c r="G264" s="84">
        <f t="shared" si="44"/>
        <v>4</v>
      </c>
      <c r="H264" s="84">
        <f t="shared" si="44"/>
        <v>0</v>
      </c>
      <c r="I264" s="84">
        <f t="shared" si="44"/>
        <v>45</v>
      </c>
      <c r="J264" s="84">
        <f t="shared" si="44"/>
        <v>215.3</v>
      </c>
      <c r="K264" s="84">
        <f t="shared" si="44"/>
        <v>0</v>
      </c>
      <c r="L264" s="84">
        <f t="shared" si="44"/>
        <v>0</v>
      </c>
      <c r="M264" s="84">
        <f t="shared" si="44"/>
        <v>0</v>
      </c>
      <c r="N264" s="84">
        <f t="shared" si="44"/>
        <v>0</v>
      </c>
      <c r="O264" s="84">
        <f t="shared" si="44"/>
        <v>9.5</v>
      </c>
      <c r="P264" s="84">
        <f t="shared" si="44"/>
        <v>2</v>
      </c>
      <c r="Q264" s="84">
        <f t="shared" si="44"/>
        <v>6.5</v>
      </c>
      <c r="R264" s="84">
        <f t="shared" si="44"/>
        <v>0</v>
      </c>
      <c r="S264" s="84">
        <f t="shared" si="44"/>
        <v>0</v>
      </c>
      <c r="T264" s="84">
        <f t="shared" si="44"/>
        <v>0</v>
      </c>
      <c r="U264" s="84">
        <f t="shared" si="44"/>
        <v>0</v>
      </c>
      <c r="V264" s="84">
        <f t="shared" si="44"/>
        <v>99</v>
      </c>
      <c r="W264" s="84">
        <f t="shared" si="44"/>
        <v>0</v>
      </c>
      <c r="X264" s="84">
        <f t="shared" si="44"/>
        <v>0</v>
      </c>
      <c r="Y264" s="84">
        <f t="shared" si="44"/>
        <v>7</v>
      </c>
      <c r="Z264" s="84">
        <f t="shared" si="44"/>
        <v>0</v>
      </c>
      <c r="AA264" s="84">
        <f t="shared" si="44"/>
        <v>0</v>
      </c>
      <c r="AB264" s="84">
        <f t="shared" si="44"/>
        <v>0</v>
      </c>
      <c r="AC264" s="88">
        <f t="shared" si="44"/>
        <v>0</v>
      </c>
      <c r="AD264" s="84">
        <f t="shared" si="44"/>
        <v>0</v>
      </c>
    </row>
    <row r="265" spans="1:30" ht="65.25" thickBot="1">
      <c r="A265" s="150" t="s">
        <v>145</v>
      </c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2"/>
    </row>
    <row r="266" spans="1:30" ht="194.25" thickBot="1">
      <c r="A266" s="92">
        <v>21.1</v>
      </c>
      <c r="B266" s="27" t="s">
        <v>172</v>
      </c>
      <c r="C266" s="83"/>
      <c r="D266" s="86"/>
      <c r="E266" s="83"/>
      <c r="F266" s="83"/>
      <c r="G266" s="83"/>
      <c r="H266" s="86"/>
      <c r="I266" s="86"/>
      <c r="J266" s="86"/>
      <c r="K266" s="86"/>
      <c r="L266" s="86"/>
      <c r="M266" s="86"/>
      <c r="N266" s="87"/>
      <c r="O266" s="84"/>
      <c r="P266" s="87"/>
      <c r="Q266" s="84"/>
      <c r="R266" s="87"/>
      <c r="S266" s="84">
        <v>155</v>
      </c>
      <c r="T266" s="87"/>
      <c r="U266" s="84"/>
      <c r="V266" s="84"/>
      <c r="W266" s="87"/>
      <c r="X266" s="84"/>
      <c r="Y266" s="84"/>
      <c r="Z266" s="87"/>
      <c r="AA266" s="84"/>
      <c r="AB266" s="84"/>
      <c r="AC266" s="88"/>
      <c r="AD266" s="83"/>
    </row>
    <row r="267" spans="1:30" ht="65.25" thickBot="1">
      <c r="A267" s="83">
        <v>36</v>
      </c>
      <c r="B267" s="22" t="s">
        <v>57</v>
      </c>
      <c r="C267" s="84"/>
      <c r="D267" s="86"/>
      <c r="E267" s="86">
        <v>37</v>
      </c>
      <c r="F267" s="86"/>
      <c r="G267" s="86"/>
      <c r="H267" s="86"/>
      <c r="I267" s="86"/>
      <c r="J267" s="86"/>
      <c r="K267" s="86"/>
      <c r="L267" s="86"/>
      <c r="M267" s="86"/>
      <c r="N267" s="86"/>
      <c r="O267" s="86">
        <v>9</v>
      </c>
      <c r="P267" s="86">
        <v>2.5</v>
      </c>
      <c r="Q267" s="86">
        <v>0.9</v>
      </c>
      <c r="R267" s="86">
        <v>9</v>
      </c>
      <c r="S267" s="86"/>
      <c r="T267" s="86"/>
      <c r="U267" s="86"/>
      <c r="V267" s="86"/>
      <c r="W267" s="86"/>
      <c r="X267" s="86"/>
      <c r="Y267" s="86">
        <v>23</v>
      </c>
      <c r="Z267" s="86"/>
      <c r="AA267" s="86"/>
      <c r="AB267" s="86"/>
      <c r="AC267" s="87"/>
      <c r="AD267" s="80"/>
    </row>
    <row r="268" spans="1:30" ht="65.25" thickBot="1">
      <c r="A268" s="84"/>
      <c r="B268" s="25" t="s">
        <v>29</v>
      </c>
      <c r="C268" s="84">
        <f aca="true" t="shared" si="45" ref="C268:AD268">C266+C267</f>
        <v>0</v>
      </c>
      <c r="D268" s="84">
        <f t="shared" si="45"/>
        <v>0</v>
      </c>
      <c r="E268" s="84">
        <f t="shared" si="45"/>
        <v>37</v>
      </c>
      <c r="F268" s="84">
        <f t="shared" si="45"/>
        <v>0</v>
      </c>
      <c r="G268" s="84">
        <f t="shared" si="45"/>
        <v>0</v>
      </c>
      <c r="H268" s="84">
        <f t="shared" si="45"/>
        <v>0</v>
      </c>
      <c r="I268" s="84">
        <f t="shared" si="45"/>
        <v>0</v>
      </c>
      <c r="J268" s="84">
        <f t="shared" si="45"/>
        <v>0</v>
      </c>
      <c r="K268" s="84">
        <f t="shared" si="45"/>
        <v>0</v>
      </c>
      <c r="L268" s="84">
        <f t="shared" si="45"/>
        <v>0</v>
      </c>
      <c r="M268" s="84">
        <f t="shared" si="45"/>
        <v>0</v>
      </c>
      <c r="N268" s="84">
        <f t="shared" si="45"/>
        <v>0</v>
      </c>
      <c r="O268" s="84">
        <f t="shared" si="45"/>
        <v>9</v>
      </c>
      <c r="P268" s="84">
        <f t="shared" si="45"/>
        <v>2.5</v>
      </c>
      <c r="Q268" s="84">
        <f t="shared" si="45"/>
        <v>0.9</v>
      </c>
      <c r="R268" s="84">
        <f t="shared" si="45"/>
        <v>9</v>
      </c>
      <c r="S268" s="84">
        <f t="shared" si="45"/>
        <v>155</v>
      </c>
      <c r="T268" s="84">
        <f t="shared" si="45"/>
        <v>0</v>
      </c>
      <c r="U268" s="84">
        <f t="shared" si="45"/>
        <v>0</v>
      </c>
      <c r="V268" s="84">
        <f t="shared" si="45"/>
        <v>0</v>
      </c>
      <c r="W268" s="84">
        <f t="shared" si="45"/>
        <v>0</v>
      </c>
      <c r="X268" s="84">
        <f t="shared" si="45"/>
        <v>0</v>
      </c>
      <c r="Y268" s="84">
        <f t="shared" si="45"/>
        <v>23</v>
      </c>
      <c r="Z268" s="84">
        <f t="shared" si="45"/>
        <v>0</v>
      </c>
      <c r="AA268" s="84">
        <f t="shared" si="45"/>
        <v>0</v>
      </c>
      <c r="AB268" s="84">
        <f t="shared" si="45"/>
        <v>0</v>
      </c>
      <c r="AC268" s="88">
        <f t="shared" si="45"/>
        <v>0</v>
      </c>
      <c r="AD268" s="84">
        <f t="shared" si="45"/>
        <v>0</v>
      </c>
    </row>
    <row r="269" spans="1:30" ht="65.25" thickBot="1">
      <c r="A269" s="150" t="s">
        <v>144</v>
      </c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2"/>
    </row>
    <row r="270" spans="1:30" ht="129.75" thickBot="1">
      <c r="A270" s="83">
        <v>1</v>
      </c>
      <c r="B270" s="25" t="s">
        <v>42</v>
      </c>
      <c r="C270" s="84"/>
      <c r="D270" s="86"/>
      <c r="E270" s="86"/>
      <c r="F270" s="86"/>
      <c r="G270" s="86">
        <v>9</v>
      </c>
      <c r="H270" s="86"/>
      <c r="I270" s="86"/>
      <c r="J270" s="86"/>
      <c r="K270" s="86"/>
      <c r="L270" s="86"/>
      <c r="M270" s="86"/>
      <c r="N270" s="83"/>
      <c r="O270" s="87">
        <v>4</v>
      </c>
      <c r="P270" s="83">
        <v>1.6</v>
      </c>
      <c r="Q270" s="87"/>
      <c r="R270" s="83"/>
      <c r="S270" s="87">
        <v>135</v>
      </c>
      <c r="T270" s="83"/>
      <c r="U270" s="87"/>
      <c r="V270" s="84"/>
      <c r="W270" s="87"/>
      <c r="X270" s="83"/>
      <c r="Y270" s="87"/>
      <c r="Z270" s="83"/>
      <c r="AA270" s="87"/>
      <c r="AB270" s="84"/>
      <c r="AC270" s="90"/>
      <c r="AD270" s="83"/>
    </row>
    <row r="271" spans="1:30" ht="129.75" thickBot="1">
      <c r="A271" s="83" t="s">
        <v>32</v>
      </c>
      <c r="B271" s="22" t="s">
        <v>56</v>
      </c>
      <c r="C271" s="86">
        <v>15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7"/>
      <c r="U271" s="83"/>
      <c r="V271" s="86"/>
      <c r="W271" s="87"/>
      <c r="X271" s="83"/>
      <c r="Y271" s="86"/>
      <c r="Z271" s="86"/>
      <c r="AA271" s="86"/>
      <c r="AB271" s="86"/>
      <c r="AC271" s="90"/>
      <c r="AD271" s="83"/>
    </row>
    <row r="272" spans="1:30" ht="65.25" thickBot="1">
      <c r="A272" s="83">
        <v>76</v>
      </c>
      <c r="B272" s="23" t="s">
        <v>171</v>
      </c>
      <c r="C272" s="84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3"/>
      <c r="O272" s="84">
        <v>8</v>
      </c>
      <c r="P272" s="83"/>
      <c r="Q272" s="87"/>
      <c r="R272" s="83"/>
      <c r="S272" s="84">
        <v>72</v>
      </c>
      <c r="T272" s="83"/>
      <c r="U272" s="87"/>
      <c r="V272" s="83"/>
      <c r="W272" s="87"/>
      <c r="X272" s="83"/>
      <c r="Y272" s="87"/>
      <c r="Z272" s="83"/>
      <c r="AA272" s="84">
        <v>0.48</v>
      </c>
      <c r="AB272" s="83"/>
      <c r="AC272" s="90"/>
      <c r="AD272" s="84"/>
    </row>
    <row r="273" spans="1:30" ht="129.75" thickBot="1">
      <c r="A273" s="83">
        <v>69</v>
      </c>
      <c r="B273" s="22" t="s">
        <v>106</v>
      </c>
      <c r="C273" s="84"/>
      <c r="D273" s="86"/>
      <c r="E273" s="86"/>
      <c r="F273" s="86"/>
      <c r="G273" s="86"/>
      <c r="H273" s="86"/>
      <c r="I273" s="86"/>
      <c r="J273" s="86"/>
      <c r="K273" s="86"/>
      <c r="L273" s="86">
        <v>85</v>
      </c>
      <c r="M273" s="8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7"/>
      <c r="AD273" s="84"/>
    </row>
    <row r="274" spans="1:30" ht="65.25" thickBot="1">
      <c r="A274" s="80"/>
      <c r="B274" s="22" t="s">
        <v>6</v>
      </c>
      <c r="C274" s="84">
        <f>C270+C271+C272+C273</f>
        <v>15</v>
      </c>
      <c r="D274" s="84">
        <f aca="true" t="shared" si="46" ref="D274:AD274">D270+D271+D272+D273</f>
        <v>0</v>
      </c>
      <c r="E274" s="84">
        <f t="shared" si="46"/>
        <v>0</v>
      </c>
      <c r="F274" s="84">
        <f t="shared" si="46"/>
        <v>0</v>
      </c>
      <c r="G274" s="84">
        <f t="shared" si="46"/>
        <v>9</v>
      </c>
      <c r="H274" s="84">
        <f t="shared" si="46"/>
        <v>0</v>
      </c>
      <c r="I274" s="84">
        <f t="shared" si="46"/>
        <v>0</v>
      </c>
      <c r="J274" s="84">
        <f t="shared" si="46"/>
        <v>0</v>
      </c>
      <c r="K274" s="84">
        <f t="shared" si="46"/>
        <v>0</v>
      </c>
      <c r="L274" s="84">
        <f t="shared" si="46"/>
        <v>85</v>
      </c>
      <c r="M274" s="84">
        <f t="shared" si="46"/>
        <v>0</v>
      </c>
      <c r="N274" s="84">
        <f t="shared" si="46"/>
        <v>0</v>
      </c>
      <c r="O274" s="84">
        <f t="shared" si="46"/>
        <v>12</v>
      </c>
      <c r="P274" s="84">
        <f t="shared" si="46"/>
        <v>1.6</v>
      </c>
      <c r="Q274" s="84">
        <f t="shared" si="46"/>
        <v>0</v>
      </c>
      <c r="R274" s="84">
        <f t="shared" si="46"/>
        <v>0</v>
      </c>
      <c r="S274" s="84">
        <f t="shared" si="46"/>
        <v>207</v>
      </c>
      <c r="T274" s="84">
        <f t="shared" si="46"/>
        <v>0</v>
      </c>
      <c r="U274" s="84">
        <f t="shared" si="46"/>
        <v>0</v>
      </c>
      <c r="V274" s="84">
        <f t="shared" si="46"/>
        <v>0</v>
      </c>
      <c r="W274" s="84">
        <f t="shared" si="46"/>
        <v>0</v>
      </c>
      <c r="X274" s="84">
        <f t="shared" si="46"/>
        <v>0</v>
      </c>
      <c r="Y274" s="84">
        <f t="shared" si="46"/>
        <v>0</v>
      </c>
      <c r="Z274" s="84">
        <f t="shared" si="46"/>
        <v>0</v>
      </c>
      <c r="AA274" s="84">
        <f t="shared" si="46"/>
        <v>0.48</v>
      </c>
      <c r="AB274" s="84">
        <f t="shared" si="46"/>
        <v>0</v>
      </c>
      <c r="AC274" s="84">
        <f t="shared" si="46"/>
        <v>0</v>
      </c>
      <c r="AD274" s="84">
        <f t="shared" si="46"/>
        <v>0</v>
      </c>
    </row>
    <row r="275" spans="1:30" ht="194.25" thickBot="1">
      <c r="A275" s="145"/>
      <c r="B275" s="22" t="s">
        <v>148</v>
      </c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8"/>
      <c r="AD275" s="84"/>
    </row>
    <row r="276" spans="1:30" ht="65.25" thickBot="1">
      <c r="A276" s="83"/>
      <c r="B276" s="93" t="s">
        <v>10</v>
      </c>
      <c r="C276" s="84">
        <f aca="true" t="shared" si="47" ref="C276:AD276">C253+C256+C264+C268+C274</f>
        <v>55</v>
      </c>
      <c r="D276" s="84">
        <f t="shared" si="47"/>
        <v>40</v>
      </c>
      <c r="E276" s="84">
        <f t="shared" si="47"/>
        <v>38.5</v>
      </c>
      <c r="F276" s="84">
        <f t="shared" si="47"/>
        <v>6.8</v>
      </c>
      <c r="G276" s="84">
        <f t="shared" si="47"/>
        <v>28</v>
      </c>
      <c r="H276" s="84">
        <f t="shared" si="47"/>
        <v>0</v>
      </c>
      <c r="I276" s="84">
        <f t="shared" si="47"/>
        <v>45</v>
      </c>
      <c r="J276" s="84">
        <f t="shared" si="47"/>
        <v>215.3</v>
      </c>
      <c r="K276" s="84">
        <f t="shared" si="47"/>
        <v>100</v>
      </c>
      <c r="L276" s="84">
        <f t="shared" si="47"/>
        <v>85</v>
      </c>
      <c r="M276" s="84">
        <f t="shared" si="47"/>
        <v>0</v>
      </c>
      <c r="N276" s="84">
        <f t="shared" si="47"/>
        <v>0</v>
      </c>
      <c r="O276" s="84">
        <f t="shared" si="47"/>
        <v>42.5</v>
      </c>
      <c r="P276" s="84">
        <f t="shared" si="47"/>
        <v>13.1</v>
      </c>
      <c r="Q276" s="84">
        <f t="shared" si="47"/>
        <v>7.4</v>
      </c>
      <c r="R276" s="84">
        <f t="shared" si="47"/>
        <v>9</v>
      </c>
      <c r="S276" s="84">
        <f t="shared" si="47"/>
        <v>565</v>
      </c>
      <c r="T276" s="84">
        <f t="shared" si="47"/>
        <v>0</v>
      </c>
      <c r="U276" s="84">
        <f t="shared" si="47"/>
        <v>0</v>
      </c>
      <c r="V276" s="84">
        <f t="shared" si="47"/>
        <v>99</v>
      </c>
      <c r="W276" s="84">
        <f t="shared" si="47"/>
        <v>0</v>
      </c>
      <c r="X276" s="84">
        <f t="shared" si="47"/>
        <v>0</v>
      </c>
      <c r="Y276" s="84">
        <f t="shared" si="47"/>
        <v>30</v>
      </c>
      <c r="Z276" s="84">
        <f t="shared" si="47"/>
        <v>9</v>
      </c>
      <c r="AA276" s="84">
        <f t="shared" si="47"/>
        <v>0.48</v>
      </c>
      <c r="AB276" s="84">
        <f t="shared" si="47"/>
        <v>2</v>
      </c>
      <c r="AC276" s="88">
        <f t="shared" si="47"/>
        <v>0</v>
      </c>
      <c r="AD276" s="84">
        <f t="shared" si="47"/>
        <v>0</v>
      </c>
    </row>
    <row r="277" spans="1:30" ht="65.25" thickBot="1">
      <c r="A277" s="150" t="s">
        <v>62</v>
      </c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2"/>
    </row>
    <row r="278" spans="1:30" ht="65.25" thickBot="1">
      <c r="A278" s="150" t="s">
        <v>21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2"/>
    </row>
    <row r="279" spans="1:30" ht="45.75" customHeight="1">
      <c r="A279" s="166" t="s">
        <v>30</v>
      </c>
      <c r="B279" s="168" t="s">
        <v>23</v>
      </c>
      <c r="C279" s="153" t="s">
        <v>116</v>
      </c>
      <c r="D279" s="153" t="s">
        <v>117</v>
      </c>
      <c r="E279" s="153" t="s">
        <v>118</v>
      </c>
      <c r="F279" s="153" t="s">
        <v>119</v>
      </c>
      <c r="G279" s="153" t="s">
        <v>120</v>
      </c>
      <c r="H279" s="153" t="s">
        <v>121</v>
      </c>
      <c r="I279" s="153" t="s">
        <v>110</v>
      </c>
      <c r="J279" s="153" t="s">
        <v>257</v>
      </c>
      <c r="K279" s="140"/>
      <c r="L279" s="153" t="s">
        <v>142</v>
      </c>
      <c r="M279" s="153" t="s">
        <v>79</v>
      </c>
      <c r="N279" s="153" t="s">
        <v>123</v>
      </c>
      <c r="O279" s="153" t="s">
        <v>80</v>
      </c>
      <c r="P279" s="153" t="s">
        <v>124</v>
      </c>
      <c r="Q279" s="153" t="s">
        <v>81</v>
      </c>
      <c r="R279" s="153" t="s">
        <v>125</v>
      </c>
      <c r="S279" s="153" t="s">
        <v>126</v>
      </c>
      <c r="T279" s="153" t="s">
        <v>127</v>
      </c>
      <c r="U279" s="140"/>
      <c r="V279" s="153" t="s">
        <v>113</v>
      </c>
      <c r="W279" s="153" t="s">
        <v>129</v>
      </c>
      <c r="X279" s="153" t="s">
        <v>84</v>
      </c>
      <c r="Y279" s="153" t="s">
        <v>82</v>
      </c>
      <c r="Z279" s="153" t="s">
        <v>83</v>
      </c>
      <c r="AA279" s="153" t="s">
        <v>85</v>
      </c>
      <c r="AB279" s="140"/>
      <c r="AC279" s="158" t="s">
        <v>78</v>
      </c>
      <c r="AD279" s="153" t="s">
        <v>138</v>
      </c>
    </row>
    <row r="280" spans="1:30" ht="409.5" customHeight="1" thickBot="1">
      <c r="A280" s="167"/>
      <c r="B280" s="169"/>
      <c r="C280" s="154"/>
      <c r="D280" s="154"/>
      <c r="E280" s="154"/>
      <c r="F280" s="154"/>
      <c r="G280" s="154"/>
      <c r="H280" s="154"/>
      <c r="I280" s="154"/>
      <c r="J280" s="154"/>
      <c r="K280" s="141" t="s">
        <v>122</v>
      </c>
      <c r="L280" s="154"/>
      <c r="M280" s="154"/>
      <c r="N280" s="154"/>
      <c r="O280" s="154"/>
      <c r="P280" s="154"/>
      <c r="Q280" s="154"/>
      <c r="R280" s="154"/>
      <c r="S280" s="154"/>
      <c r="T280" s="154"/>
      <c r="U280" s="141" t="s">
        <v>128</v>
      </c>
      <c r="V280" s="154"/>
      <c r="W280" s="154"/>
      <c r="X280" s="154"/>
      <c r="Y280" s="154"/>
      <c r="Z280" s="154"/>
      <c r="AA280" s="154"/>
      <c r="AB280" s="141" t="s">
        <v>77</v>
      </c>
      <c r="AC280" s="159"/>
      <c r="AD280" s="154"/>
    </row>
    <row r="281" spans="1:30" ht="65.25" thickBot="1">
      <c r="A281" s="145">
        <v>1</v>
      </c>
      <c r="B281" s="79">
        <v>2</v>
      </c>
      <c r="C281" s="80" t="s">
        <v>54</v>
      </c>
      <c r="D281" s="81">
        <v>4</v>
      </c>
      <c r="E281" s="80">
        <v>5</v>
      </c>
      <c r="F281" s="80">
        <v>6</v>
      </c>
      <c r="G281" s="80">
        <v>7</v>
      </c>
      <c r="H281" s="80">
        <v>8</v>
      </c>
      <c r="I281" s="80" t="s">
        <v>55</v>
      </c>
      <c r="J281" s="81">
        <v>10</v>
      </c>
      <c r="K281" s="80">
        <v>11</v>
      </c>
      <c r="L281" s="80">
        <v>13</v>
      </c>
      <c r="M281" s="80">
        <v>14</v>
      </c>
      <c r="N281" s="80">
        <v>15</v>
      </c>
      <c r="O281" s="80">
        <v>16</v>
      </c>
      <c r="P281" s="143">
        <v>17</v>
      </c>
      <c r="Q281" s="80">
        <v>18</v>
      </c>
      <c r="R281" s="143">
        <v>19</v>
      </c>
      <c r="S281" s="80">
        <v>20</v>
      </c>
      <c r="T281" s="143">
        <v>21</v>
      </c>
      <c r="U281" s="143">
        <v>22</v>
      </c>
      <c r="V281" s="80">
        <v>23</v>
      </c>
      <c r="W281" s="80">
        <v>24</v>
      </c>
      <c r="X281" s="143">
        <v>25</v>
      </c>
      <c r="Y281" s="80">
        <v>26</v>
      </c>
      <c r="Z281" s="80">
        <v>27</v>
      </c>
      <c r="AA281" s="80">
        <v>28</v>
      </c>
      <c r="AB281" s="143">
        <v>29</v>
      </c>
      <c r="AC281" s="142">
        <v>30</v>
      </c>
      <c r="AD281" s="80">
        <v>32</v>
      </c>
    </row>
    <row r="282" spans="1:30" ht="65.25" thickBot="1">
      <c r="A282" s="150" t="s">
        <v>5</v>
      </c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2"/>
    </row>
    <row r="283" spans="1:30" s="82" customFormat="1" ht="129.75" thickBot="1">
      <c r="A283" s="84">
        <v>50</v>
      </c>
      <c r="B283" s="25" t="s">
        <v>205</v>
      </c>
      <c r="C283" s="84"/>
      <c r="D283" s="85"/>
      <c r="E283" s="85"/>
      <c r="F283" s="85"/>
      <c r="G283" s="85">
        <v>19</v>
      </c>
      <c r="H283" s="86"/>
      <c r="I283" s="86"/>
      <c r="J283" s="86"/>
      <c r="K283" s="86"/>
      <c r="L283" s="86"/>
      <c r="M283" s="86"/>
      <c r="N283" s="87"/>
      <c r="O283" s="84">
        <v>4</v>
      </c>
      <c r="P283" s="87">
        <v>2</v>
      </c>
      <c r="Q283" s="84"/>
      <c r="R283" s="87"/>
      <c r="S283" s="84">
        <v>113</v>
      </c>
      <c r="T283" s="87"/>
      <c r="U283" s="84"/>
      <c r="V283" s="84"/>
      <c r="W283" s="84"/>
      <c r="X283" s="87"/>
      <c r="Y283" s="84"/>
      <c r="Z283" s="84"/>
      <c r="AA283" s="84"/>
      <c r="AB283" s="87"/>
      <c r="AC283" s="88"/>
      <c r="AD283" s="84"/>
    </row>
    <row r="284" spans="1:30" s="82" customFormat="1" ht="65.25" thickBot="1">
      <c r="A284" s="84">
        <v>15</v>
      </c>
      <c r="B284" s="23" t="s">
        <v>224</v>
      </c>
      <c r="C284" s="84"/>
      <c r="D284" s="85"/>
      <c r="E284" s="85"/>
      <c r="F284" s="85"/>
      <c r="G284" s="85"/>
      <c r="H284" s="86"/>
      <c r="I284" s="86"/>
      <c r="J284" s="86"/>
      <c r="K284" s="86"/>
      <c r="L284" s="86"/>
      <c r="M284" s="86"/>
      <c r="N284" s="87"/>
      <c r="O284" s="84">
        <v>8</v>
      </c>
      <c r="P284" s="87"/>
      <c r="Q284" s="84"/>
      <c r="R284" s="87"/>
      <c r="S284" s="84">
        <v>90</v>
      </c>
      <c r="T284" s="84"/>
      <c r="U284" s="87"/>
      <c r="V284" s="84"/>
      <c r="W284" s="87"/>
      <c r="X284" s="84"/>
      <c r="Y284" s="84"/>
      <c r="Z284" s="87"/>
      <c r="AA284" s="84"/>
      <c r="AB284" s="84"/>
      <c r="AC284" s="90">
        <v>1.1</v>
      </c>
      <c r="AD284" s="83"/>
    </row>
    <row r="285" spans="1:30" ht="65.25" thickBot="1">
      <c r="A285" s="83">
        <v>16</v>
      </c>
      <c r="B285" s="22" t="s">
        <v>36</v>
      </c>
      <c r="C285" s="86">
        <v>20</v>
      </c>
      <c r="D285" s="85"/>
      <c r="E285" s="85"/>
      <c r="F285" s="85"/>
      <c r="G285" s="85"/>
      <c r="H285" s="86"/>
      <c r="I285" s="86"/>
      <c r="J285" s="86"/>
      <c r="K285" s="86"/>
      <c r="L285" s="86"/>
      <c r="M285" s="86"/>
      <c r="N285" s="87"/>
      <c r="O285" s="84"/>
      <c r="P285" s="84">
        <v>5</v>
      </c>
      <c r="Q285" s="84"/>
      <c r="R285" s="87"/>
      <c r="S285" s="84"/>
      <c r="T285" s="87"/>
      <c r="U285" s="83"/>
      <c r="V285" s="84"/>
      <c r="W285" s="83"/>
      <c r="X285" s="87"/>
      <c r="Y285" s="84"/>
      <c r="Z285" s="84"/>
      <c r="AA285" s="87"/>
      <c r="AB285" s="83"/>
      <c r="AC285" s="88"/>
      <c r="AD285" s="84"/>
    </row>
    <row r="286" spans="1:30" ht="65.25" thickBot="1">
      <c r="A286" s="83"/>
      <c r="B286" s="22" t="s">
        <v>6</v>
      </c>
      <c r="C286" s="84">
        <f aca="true" t="shared" si="48" ref="C286:AD286">SUM(C283:C285)</f>
        <v>20</v>
      </c>
      <c r="D286" s="84">
        <f t="shared" si="48"/>
        <v>0</v>
      </c>
      <c r="E286" s="84">
        <f t="shared" si="48"/>
        <v>0</v>
      </c>
      <c r="F286" s="84">
        <f t="shared" si="48"/>
        <v>0</v>
      </c>
      <c r="G286" s="84">
        <f t="shared" si="48"/>
        <v>19</v>
      </c>
      <c r="H286" s="84">
        <f t="shared" si="48"/>
        <v>0</v>
      </c>
      <c r="I286" s="84">
        <f t="shared" si="48"/>
        <v>0</v>
      </c>
      <c r="J286" s="84">
        <f t="shared" si="48"/>
        <v>0</v>
      </c>
      <c r="K286" s="84">
        <f t="shared" si="48"/>
        <v>0</v>
      </c>
      <c r="L286" s="84">
        <f t="shared" si="48"/>
        <v>0</v>
      </c>
      <c r="M286" s="84">
        <f t="shared" si="48"/>
        <v>0</v>
      </c>
      <c r="N286" s="84">
        <f t="shared" si="48"/>
        <v>0</v>
      </c>
      <c r="O286" s="84">
        <f t="shared" si="48"/>
        <v>12</v>
      </c>
      <c r="P286" s="84">
        <f t="shared" si="48"/>
        <v>7</v>
      </c>
      <c r="Q286" s="84">
        <f t="shared" si="48"/>
        <v>0</v>
      </c>
      <c r="R286" s="84">
        <f t="shared" si="48"/>
        <v>0</v>
      </c>
      <c r="S286" s="84">
        <f t="shared" si="48"/>
        <v>203</v>
      </c>
      <c r="T286" s="84">
        <f t="shared" si="48"/>
        <v>0</v>
      </c>
      <c r="U286" s="84">
        <f t="shared" si="48"/>
        <v>0</v>
      </c>
      <c r="V286" s="84">
        <f t="shared" si="48"/>
        <v>0</v>
      </c>
      <c r="W286" s="84">
        <f t="shared" si="48"/>
        <v>0</v>
      </c>
      <c r="X286" s="84">
        <f t="shared" si="48"/>
        <v>0</v>
      </c>
      <c r="Y286" s="84">
        <f t="shared" si="48"/>
        <v>0</v>
      </c>
      <c r="Z286" s="84">
        <f t="shared" si="48"/>
        <v>0</v>
      </c>
      <c r="AA286" s="84">
        <f t="shared" si="48"/>
        <v>0</v>
      </c>
      <c r="AB286" s="84">
        <f t="shared" si="48"/>
        <v>0</v>
      </c>
      <c r="AC286" s="88">
        <f t="shared" si="48"/>
        <v>1.1</v>
      </c>
      <c r="AD286" s="84">
        <f t="shared" si="48"/>
        <v>0</v>
      </c>
    </row>
    <row r="287" spans="1:30" ht="65.25" thickBot="1">
      <c r="A287" s="155" t="s">
        <v>53</v>
      </c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7"/>
    </row>
    <row r="288" spans="1:30" ht="65.25" thickBot="1">
      <c r="A288" s="83" t="s">
        <v>32</v>
      </c>
      <c r="B288" s="25" t="s">
        <v>182</v>
      </c>
      <c r="C288" s="84"/>
      <c r="D288" s="86"/>
      <c r="E288" s="86"/>
      <c r="F288" s="86"/>
      <c r="G288" s="86"/>
      <c r="H288" s="86"/>
      <c r="I288" s="86"/>
      <c r="J288" s="86"/>
      <c r="K288" s="86">
        <v>100</v>
      </c>
      <c r="L288" s="86"/>
      <c r="M288" s="86"/>
      <c r="N288" s="87"/>
      <c r="O288" s="84"/>
      <c r="P288" s="87"/>
      <c r="Q288" s="84"/>
      <c r="R288" s="87"/>
      <c r="S288" s="84"/>
      <c r="T288" s="87"/>
      <c r="U288" s="84"/>
      <c r="V288" s="84"/>
      <c r="W288" s="87"/>
      <c r="X288" s="84"/>
      <c r="Y288" s="84"/>
      <c r="Z288" s="87"/>
      <c r="AA288" s="84"/>
      <c r="AB288" s="87"/>
      <c r="AC288" s="88"/>
      <c r="AD288" s="83"/>
    </row>
    <row r="289" spans="1:30" ht="65.25" thickBot="1">
      <c r="A289" s="83"/>
      <c r="B289" s="22" t="s">
        <v>29</v>
      </c>
      <c r="C289" s="86">
        <f>SUM(C288)</f>
        <v>0</v>
      </c>
      <c r="D289" s="86">
        <f>SUM(D288)</f>
        <v>0</v>
      </c>
      <c r="E289" s="86">
        <f aca="true" t="shared" si="49" ref="E289:AC289">SUM(E288)</f>
        <v>0</v>
      </c>
      <c r="F289" s="86">
        <f t="shared" si="49"/>
        <v>0</v>
      </c>
      <c r="G289" s="86">
        <f t="shared" si="49"/>
        <v>0</v>
      </c>
      <c r="H289" s="86">
        <f t="shared" si="49"/>
        <v>0</v>
      </c>
      <c r="I289" s="86">
        <f t="shared" si="49"/>
        <v>0</v>
      </c>
      <c r="J289" s="86">
        <f t="shared" si="49"/>
        <v>0</v>
      </c>
      <c r="K289" s="86">
        <f t="shared" si="49"/>
        <v>100</v>
      </c>
      <c r="L289" s="86">
        <f t="shared" si="49"/>
        <v>0</v>
      </c>
      <c r="M289" s="86">
        <f t="shared" si="49"/>
        <v>0</v>
      </c>
      <c r="N289" s="86">
        <f t="shared" si="49"/>
        <v>0</v>
      </c>
      <c r="O289" s="86">
        <f t="shared" si="49"/>
        <v>0</v>
      </c>
      <c r="P289" s="86">
        <f t="shared" si="49"/>
        <v>0</v>
      </c>
      <c r="Q289" s="86">
        <f t="shared" si="49"/>
        <v>0</v>
      </c>
      <c r="R289" s="86">
        <f t="shared" si="49"/>
        <v>0</v>
      </c>
      <c r="S289" s="86">
        <f t="shared" si="49"/>
        <v>0</v>
      </c>
      <c r="T289" s="86">
        <f t="shared" si="49"/>
        <v>0</v>
      </c>
      <c r="U289" s="86">
        <f t="shared" si="49"/>
        <v>0</v>
      </c>
      <c r="V289" s="86">
        <f t="shared" si="49"/>
        <v>0</v>
      </c>
      <c r="W289" s="86">
        <f t="shared" si="49"/>
        <v>0</v>
      </c>
      <c r="X289" s="86">
        <f t="shared" si="49"/>
        <v>0</v>
      </c>
      <c r="Y289" s="86">
        <f t="shared" si="49"/>
        <v>0</v>
      </c>
      <c r="Z289" s="86">
        <f t="shared" si="49"/>
        <v>0</v>
      </c>
      <c r="AA289" s="86">
        <f t="shared" si="49"/>
        <v>0</v>
      </c>
      <c r="AB289" s="86">
        <f t="shared" si="49"/>
        <v>0</v>
      </c>
      <c r="AC289" s="87">
        <f t="shared" si="49"/>
        <v>0</v>
      </c>
      <c r="AD289" s="83">
        <f>SUM(AD288)</f>
        <v>0</v>
      </c>
    </row>
    <row r="290" spans="1:30" ht="65.25" thickBot="1">
      <c r="A290" s="150" t="s">
        <v>8</v>
      </c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2"/>
    </row>
    <row r="291" spans="1:30" ht="65.25" thickBot="1">
      <c r="A291" s="84">
        <v>56</v>
      </c>
      <c r="B291" s="22" t="s">
        <v>228</v>
      </c>
      <c r="C291" s="84"/>
      <c r="D291" s="86"/>
      <c r="E291" s="86"/>
      <c r="F291" s="86"/>
      <c r="G291" s="86"/>
      <c r="H291" s="86"/>
      <c r="I291" s="86"/>
      <c r="J291" s="86">
        <v>28.8</v>
      </c>
      <c r="K291" s="86"/>
      <c r="L291" s="86"/>
      <c r="M291" s="86"/>
      <c r="N291" s="87"/>
      <c r="O291" s="83"/>
      <c r="P291" s="87"/>
      <c r="Q291" s="83">
        <v>3</v>
      </c>
      <c r="R291" s="87"/>
      <c r="S291" s="83"/>
      <c r="T291" s="87"/>
      <c r="U291" s="84"/>
      <c r="V291" s="83"/>
      <c r="W291" s="87"/>
      <c r="X291" s="84"/>
      <c r="Y291" s="83"/>
      <c r="Z291" s="87"/>
      <c r="AA291" s="83"/>
      <c r="AB291" s="84"/>
      <c r="AC291" s="88"/>
      <c r="AD291" s="83"/>
    </row>
    <row r="292" spans="1:30" ht="129.75" thickBot="1">
      <c r="A292" s="83">
        <v>53</v>
      </c>
      <c r="B292" s="22" t="s">
        <v>174</v>
      </c>
      <c r="C292" s="84"/>
      <c r="D292" s="86"/>
      <c r="E292" s="86"/>
      <c r="F292" s="86"/>
      <c r="G292" s="86"/>
      <c r="H292" s="86"/>
      <c r="I292" s="86">
        <v>26</v>
      </c>
      <c r="J292" s="86">
        <v>29.5</v>
      </c>
      <c r="K292" s="86"/>
      <c r="L292" s="86"/>
      <c r="M292" s="86"/>
      <c r="N292" s="83"/>
      <c r="O292" s="87"/>
      <c r="P292" s="83">
        <v>2</v>
      </c>
      <c r="Q292" s="87"/>
      <c r="R292" s="83"/>
      <c r="S292" s="87"/>
      <c r="T292" s="90"/>
      <c r="U292" s="83"/>
      <c r="V292" s="83">
        <v>6</v>
      </c>
      <c r="W292" s="87">
        <v>19</v>
      </c>
      <c r="X292" s="83"/>
      <c r="Y292" s="84">
        <v>7</v>
      </c>
      <c r="Z292" s="83"/>
      <c r="AA292" s="83"/>
      <c r="AB292" s="87"/>
      <c r="AC292" s="90"/>
      <c r="AD292" s="83"/>
    </row>
    <row r="293" spans="1:30" ht="65.25" thickBot="1">
      <c r="A293" s="84">
        <v>19</v>
      </c>
      <c r="B293" s="22" t="s">
        <v>242</v>
      </c>
      <c r="C293" s="83"/>
      <c r="D293" s="86"/>
      <c r="E293" s="86"/>
      <c r="F293" s="86"/>
      <c r="G293" s="86"/>
      <c r="H293" s="86"/>
      <c r="I293" s="86">
        <v>89</v>
      </c>
      <c r="J293" s="86">
        <v>24.4</v>
      </c>
      <c r="K293" s="86"/>
      <c r="L293" s="86"/>
      <c r="M293" s="86"/>
      <c r="N293" s="86"/>
      <c r="O293" s="86"/>
      <c r="P293" s="86"/>
      <c r="Q293" s="86">
        <v>4</v>
      </c>
      <c r="R293" s="86"/>
      <c r="S293" s="86"/>
      <c r="T293" s="86"/>
      <c r="U293" s="86"/>
      <c r="V293" s="86">
        <v>47</v>
      </c>
      <c r="W293" s="86"/>
      <c r="X293" s="86"/>
      <c r="Y293" s="86"/>
      <c r="Z293" s="86"/>
      <c r="AA293" s="86"/>
      <c r="AB293" s="86"/>
      <c r="AC293" s="87"/>
      <c r="AD293" s="83"/>
    </row>
    <row r="294" spans="1:30" ht="65.25" thickBot="1">
      <c r="A294" s="83">
        <v>9</v>
      </c>
      <c r="B294" s="22" t="s">
        <v>43</v>
      </c>
      <c r="C294" s="84"/>
      <c r="D294" s="86"/>
      <c r="E294" s="86"/>
      <c r="F294" s="86"/>
      <c r="G294" s="86"/>
      <c r="H294" s="86"/>
      <c r="I294" s="86"/>
      <c r="J294" s="86"/>
      <c r="K294" s="86"/>
      <c r="L294" s="86"/>
      <c r="M294" s="86">
        <v>15</v>
      </c>
      <c r="N294" s="87"/>
      <c r="O294" s="83">
        <v>10</v>
      </c>
      <c r="P294" s="87"/>
      <c r="Q294" s="83"/>
      <c r="R294" s="87"/>
      <c r="S294" s="83"/>
      <c r="T294" s="83"/>
      <c r="U294" s="87"/>
      <c r="V294" s="83"/>
      <c r="W294" s="87"/>
      <c r="X294" s="83"/>
      <c r="Y294" s="83"/>
      <c r="Z294" s="87"/>
      <c r="AA294" s="83"/>
      <c r="AB294" s="87"/>
      <c r="AC294" s="90"/>
      <c r="AD294" s="83"/>
    </row>
    <row r="295" spans="1:30" ht="129.75" thickBot="1">
      <c r="A295" s="83" t="s">
        <v>32</v>
      </c>
      <c r="B295" s="22" t="s">
        <v>56</v>
      </c>
      <c r="C295" s="84">
        <v>20</v>
      </c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7"/>
      <c r="U295" s="83"/>
      <c r="V295" s="86"/>
      <c r="W295" s="87"/>
      <c r="X295" s="83"/>
      <c r="Y295" s="86"/>
      <c r="Z295" s="86"/>
      <c r="AA295" s="86"/>
      <c r="AB295" s="86"/>
      <c r="AC295" s="87"/>
      <c r="AD295" s="83"/>
    </row>
    <row r="296" spans="1:30" ht="129.75" thickBot="1">
      <c r="A296" s="83" t="s">
        <v>32</v>
      </c>
      <c r="B296" s="22" t="s">
        <v>58</v>
      </c>
      <c r="C296" s="84"/>
      <c r="D296" s="86">
        <v>40</v>
      </c>
      <c r="E296" s="86"/>
      <c r="F296" s="86"/>
      <c r="G296" s="86"/>
      <c r="H296" s="86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91"/>
      <c r="AD296" s="83"/>
    </row>
    <row r="297" spans="1:30" ht="65.25" thickBot="1">
      <c r="A297" s="84"/>
      <c r="B297" s="25" t="s">
        <v>29</v>
      </c>
      <c r="C297" s="84">
        <f aca="true" t="shared" si="50" ref="C297:AD297">SUM(C291:C296)</f>
        <v>20</v>
      </c>
      <c r="D297" s="84">
        <f t="shared" si="50"/>
        <v>40</v>
      </c>
      <c r="E297" s="84">
        <f t="shared" si="50"/>
        <v>0</v>
      </c>
      <c r="F297" s="84">
        <f t="shared" si="50"/>
        <v>0</v>
      </c>
      <c r="G297" s="84">
        <f t="shared" si="50"/>
        <v>0</v>
      </c>
      <c r="H297" s="84">
        <f t="shared" si="50"/>
        <v>0</v>
      </c>
      <c r="I297" s="84">
        <f t="shared" si="50"/>
        <v>115</v>
      </c>
      <c r="J297" s="84">
        <f t="shared" si="50"/>
        <v>82.69999999999999</v>
      </c>
      <c r="K297" s="84">
        <f t="shared" si="50"/>
        <v>0</v>
      </c>
      <c r="L297" s="84">
        <f t="shared" si="50"/>
        <v>0</v>
      </c>
      <c r="M297" s="84">
        <f t="shared" si="50"/>
        <v>15</v>
      </c>
      <c r="N297" s="84">
        <f t="shared" si="50"/>
        <v>0</v>
      </c>
      <c r="O297" s="84">
        <f t="shared" si="50"/>
        <v>10</v>
      </c>
      <c r="P297" s="84">
        <f t="shared" si="50"/>
        <v>2</v>
      </c>
      <c r="Q297" s="84">
        <f t="shared" si="50"/>
        <v>7</v>
      </c>
      <c r="R297" s="84">
        <f t="shared" si="50"/>
        <v>0</v>
      </c>
      <c r="S297" s="84">
        <f t="shared" si="50"/>
        <v>0</v>
      </c>
      <c r="T297" s="84">
        <f t="shared" si="50"/>
        <v>0</v>
      </c>
      <c r="U297" s="84">
        <f t="shared" si="50"/>
        <v>0</v>
      </c>
      <c r="V297" s="84">
        <f t="shared" si="50"/>
        <v>53</v>
      </c>
      <c r="W297" s="84">
        <f t="shared" si="50"/>
        <v>19</v>
      </c>
      <c r="X297" s="84">
        <f t="shared" si="50"/>
        <v>0</v>
      </c>
      <c r="Y297" s="84">
        <f t="shared" si="50"/>
        <v>7</v>
      </c>
      <c r="Z297" s="84">
        <f t="shared" si="50"/>
        <v>0</v>
      </c>
      <c r="AA297" s="84">
        <f t="shared" si="50"/>
        <v>0</v>
      </c>
      <c r="AB297" s="84">
        <f t="shared" si="50"/>
        <v>0</v>
      </c>
      <c r="AC297" s="88">
        <f t="shared" si="50"/>
        <v>0</v>
      </c>
      <c r="AD297" s="84">
        <f t="shared" si="50"/>
        <v>0</v>
      </c>
    </row>
    <row r="298" spans="1:30" ht="65.25" customHeight="1" thickBot="1">
      <c r="A298" s="150" t="s">
        <v>145</v>
      </c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2"/>
    </row>
    <row r="299" spans="1:30" ht="194.25" thickBot="1">
      <c r="A299" s="92">
        <v>21.1</v>
      </c>
      <c r="B299" s="27" t="s">
        <v>172</v>
      </c>
      <c r="C299" s="83"/>
      <c r="D299" s="86"/>
      <c r="E299" s="83"/>
      <c r="F299" s="83"/>
      <c r="G299" s="83"/>
      <c r="H299" s="86"/>
      <c r="I299" s="86"/>
      <c r="J299" s="86"/>
      <c r="K299" s="86"/>
      <c r="L299" s="86"/>
      <c r="M299" s="86"/>
      <c r="N299" s="87"/>
      <c r="O299" s="84"/>
      <c r="P299" s="87"/>
      <c r="Q299" s="84"/>
      <c r="R299" s="87"/>
      <c r="S299" s="84">
        <v>155</v>
      </c>
      <c r="T299" s="87"/>
      <c r="U299" s="84"/>
      <c r="V299" s="84"/>
      <c r="W299" s="87"/>
      <c r="X299" s="84"/>
      <c r="Y299" s="84"/>
      <c r="Z299" s="87"/>
      <c r="AA299" s="84"/>
      <c r="AB299" s="84"/>
      <c r="AC299" s="88"/>
      <c r="AD299" s="83"/>
    </row>
    <row r="300" spans="1:30" ht="129.75" thickBot="1">
      <c r="A300" s="83">
        <v>28</v>
      </c>
      <c r="B300" s="22" t="s">
        <v>164</v>
      </c>
      <c r="C300" s="84"/>
      <c r="D300" s="85"/>
      <c r="E300" s="85">
        <v>32.4</v>
      </c>
      <c r="F300" s="85"/>
      <c r="G300" s="85"/>
      <c r="H300" s="86"/>
      <c r="I300" s="86"/>
      <c r="J300" s="86"/>
      <c r="K300" s="86"/>
      <c r="L300" s="86"/>
      <c r="M300" s="86"/>
      <c r="N300" s="86"/>
      <c r="O300" s="86">
        <v>7.5</v>
      </c>
      <c r="P300" s="86">
        <v>3.5</v>
      </c>
      <c r="Q300" s="86">
        <v>0.9</v>
      </c>
      <c r="R300" s="86">
        <v>5.1</v>
      </c>
      <c r="S300" s="86">
        <v>12</v>
      </c>
      <c r="T300" s="86">
        <v>23</v>
      </c>
      <c r="U300" s="86"/>
      <c r="V300" s="86"/>
      <c r="W300" s="86"/>
      <c r="X300" s="86"/>
      <c r="Y300" s="86"/>
      <c r="Z300" s="86"/>
      <c r="AA300" s="86"/>
      <c r="AB300" s="83"/>
      <c r="AC300" s="87"/>
      <c r="AD300" s="84">
        <v>1</v>
      </c>
    </row>
    <row r="301" spans="1:30" ht="65.25" thickBot="1">
      <c r="A301" s="84"/>
      <c r="B301" s="25" t="s">
        <v>29</v>
      </c>
      <c r="C301" s="84">
        <f aca="true" t="shared" si="51" ref="C301:AD301">C299+C300</f>
        <v>0</v>
      </c>
      <c r="D301" s="84">
        <f t="shared" si="51"/>
        <v>0</v>
      </c>
      <c r="E301" s="84">
        <f t="shared" si="51"/>
        <v>32.4</v>
      </c>
      <c r="F301" s="84">
        <f t="shared" si="51"/>
        <v>0</v>
      </c>
      <c r="G301" s="84">
        <f t="shared" si="51"/>
        <v>0</v>
      </c>
      <c r="H301" s="84">
        <f t="shared" si="51"/>
        <v>0</v>
      </c>
      <c r="I301" s="84">
        <f t="shared" si="51"/>
        <v>0</v>
      </c>
      <c r="J301" s="84">
        <f t="shared" si="51"/>
        <v>0</v>
      </c>
      <c r="K301" s="84">
        <f t="shared" si="51"/>
        <v>0</v>
      </c>
      <c r="L301" s="84">
        <f t="shared" si="51"/>
        <v>0</v>
      </c>
      <c r="M301" s="84">
        <f t="shared" si="51"/>
        <v>0</v>
      </c>
      <c r="N301" s="84">
        <f t="shared" si="51"/>
        <v>0</v>
      </c>
      <c r="O301" s="84">
        <f t="shared" si="51"/>
        <v>7.5</v>
      </c>
      <c r="P301" s="84">
        <f t="shared" si="51"/>
        <v>3.5</v>
      </c>
      <c r="Q301" s="84">
        <f t="shared" si="51"/>
        <v>0.9</v>
      </c>
      <c r="R301" s="84">
        <f t="shared" si="51"/>
        <v>5.1</v>
      </c>
      <c r="S301" s="84">
        <f t="shared" si="51"/>
        <v>167</v>
      </c>
      <c r="T301" s="84">
        <f t="shared" si="51"/>
        <v>23</v>
      </c>
      <c r="U301" s="84">
        <f t="shared" si="51"/>
        <v>0</v>
      </c>
      <c r="V301" s="84">
        <f t="shared" si="51"/>
        <v>0</v>
      </c>
      <c r="W301" s="84">
        <f t="shared" si="51"/>
        <v>0</v>
      </c>
      <c r="X301" s="84">
        <f t="shared" si="51"/>
        <v>0</v>
      </c>
      <c r="Y301" s="84">
        <f t="shared" si="51"/>
        <v>0</v>
      </c>
      <c r="Z301" s="84">
        <f t="shared" si="51"/>
        <v>0</v>
      </c>
      <c r="AA301" s="84">
        <f t="shared" si="51"/>
        <v>0</v>
      </c>
      <c r="AB301" s="84">
        <f t="shared" si="51"/>
        <v>0</v>
      </c>
      <c r="AC301" s="88">
        <f t="shared" si="51"/>
        <v>0</v>
      </c>
      <c r="AD301" s="84">
        <f t="shared" si="51"/>
        <v>1</v>
      </c>
    </row>
    <row r="302" spans="1:30" ht="65.25" thickBot="1">
      <c r="A302" s="150" t="s">
        <v>144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2"/>
    </row>
    <row r="303" spans="1:30" ht="65.25" thickBot="1">
      <c r="A303" s="83">
        <v>73</v>
      </c>
      <c r="B303" s="22" t="s">
        <v>212</v>
      </c>
      <c r="C303" s="83">
        <v>13</v>
      </c>
      <c r="D303" s="86"/>
      <c r="E303" s="86"/>
      <c r="F303" s="86"/>
      <c r="G303" s="86">
        <v>13</v>
      </c>
      <c r="H303" s="86"/>
      <c r="I303" s="86">
        <v>66</v>
      </c>
      <c r="J303" s="86">
        <v>230</v>
      </c>
      <c r="K303" s="86"/>
      <c r="L303" s="86"/>
      <c r="M303" s="86"/>
      <c r="N303" s="86"/>
      <c r="O303" s="86"/>
      <c r="P303" s="86">
        <v>3</v>
      </c>
      <c r="Q303" s="86">
        <v>5</v>
      </c>
      <c r="R303" s="86">
        <v>10</v>
      </c>
      <c r="S303" s="86"/>
      <c r="T303" s="86"/>
      <c r="U303" s="86"/>
      <c r="V303" s="86"/>
      <c r="W303" s="86"/>
      <c r="X303" s="86"/>
      <c r="Y303" s="86">
        <v>6</v>
      </c>
      <c r="Z303" s="86"/>
      <c r="AA303" s="86"/>
      <c r="AB303" s="86"/>
      <c r="AC303" s="87"/>
      <c r="AD303" s="83"/>
    </row>
    <row r="304" spans="1:30" ht="65.25" thickBot="1">
      <c r="A304" s="84">
        <v>13</v>
      </c>
      <c r="B304" s="23" t="s">
        <v>7</v>
      </c>
      <c r="C304" s="84"/>
      <c r="D304" s="85"/>
      <c r="E304" s="85"/>
      <c r="F304" s="85"/>
      <c r="G304" s="85"/>
      <c r="H304" s="86"/>
      <c r="I304" s="86"/>
      <c r="J304" s="86"/>
      <c r="K304" s="86"/>
      <c r="L304" s="86"/>
      <c r="M304" s="86"/>
      <c r="N304" s="87"/>
      <c r="O304" s="84">
        <v>10</v>
      </c>
      <c r="P304" s="87"/>
      <c r="Q304" s="84"/>
      <c r="R304" s="87"/>
      <c r="S304" s="84"/>
      <c r="T304" s="84"/>
      <c r="U304" s="87"/>
      <c r="V304" s="84"/>
      <c r="W304" s="87"/>
      <c r="X304" s="84"/>
      <c r="Y304" s="84"/>
      <c r="Z304" s="87"/>
      <c r="AA304" s="84">
        <v>0.48</v>
      </c>
      <c r="AB304" s="84"/>
      <c r="AC304" s="90"/>
      <c r="AD304" s="83"/>
    </row>
    <row r="305" spans="1:30" ht="129.75" thickBot="1">
      <c r="A305" s="83" t="s">
        <v>32</v>
      </c>
      <c r="B305" s="22" t="s">
        <v>56</v>
      </c>
      <c r="C305" s="86">
        <v>15</v>
      </c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7"/>
      <c r="U305" s="83"/>
      <c r="V305" s="86"/>
      <c r="W305" s="87"/>
      <c r="X305" s="83"/>
      <c r="Y305" s="86"/>
      <c r="Z305" s="86"/>
      <c r="AA305" s="86"/>
      <c r="AB305" s="86"/>
      <c r="AC305" s="87"/>
      <c r="AD305" s="83"/>
    </row>
    <row r="306" spans="1:30" ht="129.75" thickBot="1">
      <c r="A306" s="83">
        <v>69</v>
      </c>
      <c r="B306" s="22" t="s">
        <v>106</v>
      </c>
      <c r="C306" s="84"/>
      <c r="D306" s="86"/>
      <c r="E306" s="86"/>
      <c r="F306" s="86"/>
      <c r="G306" s="86"/>
      <c r="H306" s="86"/>
      <c r="I306" s="86"/>
      <c r="J306" s="86"/>
      <c r="K306" s="86"/>
      <c r="L306" s="86">
        <v>85</v>
      </c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7"/>
      <c r="AD306" s="84"/>
    </row>
    <row r="307" spans="1:30" ht="65.25" thickBot="1">
      <c r="A307" s="80"/>
      <c r="B307" s="22" t="s">
        <v>6</v>
      </c>
      <c r="C307" s="84">
        <f aca="true" t="shared" si="52" ref="C307:AD307">SUM(C303:C306)</f>
        <v>28</v>
      </c>
      <c r="D307" s="84">
        <f t="shared" si="52"/>
        <v>0</v>
      </c>
      <c r="E307" s="84">
        <f t="shared" si="52"/>
        <v>0</v>
      </c>
      <c r="F307" s="84">
        <f t="shared" si="52"/>
        <v>0</v>
      </c>
      <c r="G307" s="84">
        <f t="shared" si="52"/>
        <v>13</v>
      </c>
      <c r="H307" s="84">
        <f t="shared" si="52"/>
        <v>0</v>
      </c>
      <c r="I307" s="84">
        <f t="shared" si="52"/>
        <v>66</v>
      </c>
      <c r="J307" s="84">
        <f t="shared" si="52"/>
        <v>230</v>
      </c>
      <c r="K307" s="84">
        <f t="shared" si="52"/>
        <v>0</v>
      </c>
      <c r="L307" s="84">
        <f t="shared" si="52"/>
        <v>85</v>
      </c>
      <c r="M307" s="84">
        <f t="shared" si="52"/>
        <v>0</v>
      </c>
      <c r="N307" s="84">
        <f t="shared" si="52"/>
        <v>0</v>
      </c>
      <c r="O307" s="84">
        <f t="shared" si="52"/>
        <v>10</v>
      </c>
      <c r="P307" s="84">
        <f t="shared" si="52"/>
        <v>3</v>
      </c>
      <c r="Q307" s="84">
        <f t="shared" si="52"/>
        <v>5</v>
      </c>
      <c r="R307" s="84">
        <f t="shared" si="52"/>
        <v>10</v>
      </c>
      <c r="S307" s="84">
        <f t="shared" si="52"/>
        <v>0</v>
      </c>
      <c r="T307" s="84">
        <f t="shared" si="52"/>
        <v>0</v>
      </c>
      <c r="U307" s="84">
        <f t="shared" si="52"/>
        <v>0</v>
      </c>
      <c r="V307" s="84">
        <f t="shared" si="52"/>
        <v>0</v>
      </c>
      <c r="W307" s="84">
        <f t="shared" si="52"/>
        <v>0</v>
      </c>
      <c r="X307" s="84">
        <f t="shared" si="52"/>
        <v>0</v>
      </c>
      <c r="Y307" s="84">
        <f t="shared" si="52"/>
        <v>6</v>
      </c>
      <c r="Z307" s="84">
        <f t="shared" si="52"/>
        <v>0</v>
      </c>
      <c r="AA307" s="84">
        <f t="shared" si="52"/>
        <v>0.48</v>
      </c>
      <c r="AB307" s="84">
        <f t="shared" si="52"/>
        <v>0</v>
      </c>
      <c r="AC307" s="88">
        <f t="shared" si="52"/>
        <v>0</v>
      </c>
      <c r="AD307" s="84">
        <f t="shared" si="52"/>
        <v>0</v>
      </c>
    </row>
    <row r="308" spans="1:30" ht="194.25" thickBot="1">
      <c r="A308" s="145"/>
      <c r="B308" s="22" t="s">
        <v>148</v>
      </c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8"/>
      <c r="AD308" s="84"/>
    </row>
    <row r="309" spans="1:30" ht="65.25" thickBot="1">
      <c r="A309" s="83"/>
      <c r="B309" s="93" t="s">
        <v>10</v>
      </c>
      <c r="C309" s="84">
        <f aca="true" t="shared" si="53" ref="C309:AD309">C286+C289+C297+C301+C307</f>
        <v>68</v>
      </c>
      <c r="D309" s="84">
        <f t="shared" si="53"/>
        <v>40</v>
      </c>
      <c r="E309" s="84">
        <f t="shared" si="53"/>
        <v>32.4</v>
      </c>
      <c r="F309" s="84">
        <f t="shared" si="53"/>
        <v>0</v>
      </c>
      <c r="G309" s="84">
        <f t="shared" si="53"/>
        <v>32</v>
      </c>
      <c r="H309" s="84">
        <f t="shared" si="53"/>
        <v>0</v>
      </c>
      <c r="I309" s="84">
        <f t="shared" si="53"/>
        <v>181</v>
      </c>
      <c r="J309" s="84">
        <f t="shared" si="53"/>
        <v>312.7</v>
      </c>
      <c r="K309" s="84">
        <f t="shared" si="53"/>
        <v>100</v>
      </c>
      <c r="L309" s="84">
        <f t="shared" si="53"/>
        <v>85</v>
      </c>
      <c r="M309" s="84">
        <f t="shared" si="53"/>
        <v>15</v>
      </c>
      <c r="N309" s="84">
        <f t="shared" si="53"/>
        <v>0</v>
      </c>
      <c r="O309" s="84">
        <f t="shared" si="53"/>
        <v>39.5</v>
      </c>
      <c r="P309" s="84">
        <f t="shared" si="53"/>
        <v>15.5</v>
      </c>
      <c r="Q309" s="84">
        <f t="shared" si="53"/>
        <v>12.9</v>
      </c>
      <c r="R309" s="84">
        <f t="shared" si="53"/>
        <v>15.1</v>
      </c>
      <c r="S309" s="84">
        <f t="shared" si="53"/>
        <v>370</v>
      </c>
      <c r="T309" s="84">
        <f t="shared" si="53"/>
        <v>23</v>
      </c>
      <c r="U309" s="84">
        <f t="shared" si="53"/>
        <v>0</v>
      </c>
      <c r="V309" s="84">
        <f t="shared" si="53"/>
        <v>53</v>
      </c>
      <c r="W309" s="84">
        <f t="shared" si="53"/>
        <v>19</v>
      </c>
      <c r="X309" s="84">
        <f t="shared" si="53"/>
        <v>0</v>
      </c>
      <c r="Y309" s="84">
        <f t="shared" si="53"/>
        <v>13</v>
      </c>
      <c r="Z309" s="84">
        <f t="shared" si="53"/>
        <v>0</v>
      </c>
      <c r="AA309" s="84">
        <f t="shared" si="53"/>
        <v>0.48</v>
      </c>
      <c r="AB309" s="84">
        <f t="shared" si="53"/>
        <v>0</v>
      </c>
      <c r="AC309" s="88">
        <f t="shared" si="53"/>
        <v>1.1</v>
      </c>
      <c r="AD309" s="84">
        <f t="shared" si="53"/>
        <v>1</v>
      </c>
    </row>
    <row r="310" spans="1:30" ht="65.25" thickBot="1">
      <c r="A310" s="150" t="s">
        <v>62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2"/>
    </row>
    <row r="311" spans="1:30" ht="103.5" customHeight="1" thickBot="1">
      <c r="A311" s="150" t="s">
        <v>22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</row>
    <row r="312" spans="1:30" ht="45.75" customHeight="1">
      <c r="A312" s="166" t="s">
        <v>30</v>
      </c>
      <c r="B312" s="168" t="s">
        <v>23</v>
      </c>
      <c r="C312" s="153" t="s">
        <v>116</v>
      </c>
      <c r="D312" s="153" t="s">
        <v>117</v>
      </c>
      <c r="E312" s="153" t="s">
        <v>118</v>
      </c>
      <c r="F312" s="153" t="s">
        <v>119</v>
      </c>
      <c r="G312" s="153" t="s">
        <v>120</v>
      </c>
      <c r="H312" s="153" t="s">
        <v>121</v>
      </c>
      <c r="I312" s="153" t="s">
        <v>110</v>
      </c>
      <c r="J312" s="153" t="s">
        <v>257</v>
      </c>
      <c r="K312" s="140"/>
      <c r="L312" s="153" t="s">
        <v>142</v>
      </c>
      <c r="M312" s="153" t="s">
        <v>79</v>
      </c>
      <c r="N312" s="153" t="s">
        <v>123</v>
      </c>
      <c r="O312" s="153" t="s">
        <v>80</v>
      </c>
      <c r="P312" s="153" t="s">
        <v>124</v>
      </c>
      <c r="Q312" s="153" t="s">
        <v>81</v>
      </c>
      <c r="R312" s="153" t="s">
        <v>125</v>
      </c>
      <c r="S312" s="153" t="s">
        <v>126</v>
      </c>
      <c r="T312" s="153" t="s">
        <v>127</v>
      </c>
      <c r="U312" s="140"/>
      <c r="V312" s="153" t="s">
        <v>113</v>
      </c>
      <c r="W312" s="153" t="s">
        <v>129</v>
      </c>
      <c r="X312" s="153" t="s">
        <v>84</v>
      </c>
      <c r="Y312" s="153" t="s">
        <v>82</v>
      </c>
      <c r="Z312" s="153" t="s">
        <v>83</v>
      </c>
      <c r="AA312" s="153" t="s">
        <v>85</v>
      </c>
      <c r="AB312" s="140"/>
      <c r="AC312" s="158" t="s">
        <v>78</v>
      </c>
      <c r="AD312" s="153" t="s">
        <v>138</v>
      </c>
    </row>
    <row r="313" spans="1:30" ht="409.5" customHeight="1" thickBot="1">
      <c r="A313" s="167"/>
      <c r="B313" s="169"/>
      <c r="C313" s="154"/>
      <c r="D313" s="154"/>
      <c r="E313" s="154"/>
      <c r="F313" s="154"/>
      <c r="G313" s="154"/>
      <c r="H313" s="154"/>
      <c r="I313" s="154"/>
      <c r="J313" s="154"/>
      <c r="K313" s="141" t="s">
        <v>122</v>
      </c>
      <c r="L313" s="154"/>
      <c r="M313" s="154"/>
      <c r="N313" s="154"/>
      <c r="O313" s="154"/>
      <c r="P313" s="154"/>
      <c r="Q313" s="154"/>
      <c r="R313" s="154"/>
      <c r="S313" s="154"/>
      <c r="T313" s="154"/>
      <c r="U313" s="141" t="s">
        <v>128</v>
      </c>
      <c r="V313" s="154"/>
      <c r="W313" s="154"/>
      <c r="X313" s="154"/>
      <c r="Y313" s="154"/>
      <c r="Z313" s="154"/>
      <c r="AA313" s="154"/>
      <c r="AB313" s="141" t="s">
        <v>77</v>
      </c>
      <c r="AC313" s="159"/>
      <c r="AD313" s="154"/>
    </row>
    <row r="314" spans="1:30" ht="65.25" thickBot="1">
      <c r="A314" s="145">
        <v>1</v>
      </c>
      <c r="B314" s="79">
        <v>2</v>
      </c>
      <c r="C314" s="80" t="s">
        <v>54</v>
      </c>
      <c r="D314" s="81">
        <v>4</v>
      </c>
      <c r="E314" s="80">
        <v>5</v>
      </c>
      <c r="F314" s="80">
        <v>6</v>
      </c>
      <c r="G314" s="80">
        <v>7</v>
      </c>
      <c r="H314" s="80">
        <v>8</v>
      </c>
      <c r="I314" s="80" t="s">
        <v>55</v>
      </c>
      <c r="J314" s="81">
        <v>10</v>
      </c>
      <c r="K314" s="80">
        <v>11</v>
      </c>
      <c r="L314" s="80">
        <v>12</v>
      </c>
      <c r="M314" s="80">
        <v>13</v>
      </c>
      <c r="N314" s="80">
        <v>14</v>
      </c>
      <c r="O314" s="80">
        <v>15</v>
      </c>
      <c r="P314" s="143">
        <v>16</v>
      </c>
      <c r="Q314" s="80">
        <v>17</v>
      </c>
      <c r="R314" s="143">
        <v>18</v>
      </c>
      <c r="S314" s="80">
        <v>19</v>
      </c>
      <c r="T314" s="143">
        <v>20</v>
      </c>
      <c r="U314" s="143">
        <v>21</v>
      </c>
      <c r="V314" s="80">
        <v>22</v>
      </c>
      <c r="W314" s="80">
        <v>23</v>
      </c>
      <c r="X314" s="143">
        <v>24</v>
      </c>
      <c r="Y314" s="80">
        <v>25</v>
      </c>
      <c r="Z314" s="80">
        <v>26</v>
      </c>
      <c r="AA314" s="80">
        <v>27</v>
      </c>
      <c r="AB314" s="143">
        <v>28</v>
      </c>
      <c r="AC314" s="142">
        <v>29</v>
      </c>
      <c r="AD314" s="80">
        <v>31</v>
      </c>
    </row>
    <row r="315" spans="1:30" ht="65.25" thickBot="1">
      <c r="A315" s="150" t="s">
        <v>5</v>
      </c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2"/>
    </row>
    <row r="316" spans="1:30" ht="194.25" thickBot="1">
      <c r="A316" s="94">
        <v>39</v>
      </c>
      <c r="B316" s="75" t="s">
        <v>20</v>
      </c>
      <c r="C316" s="95"/>
      <c r="D316" s="96"/>
      <c r="E316" s="96"/>
      <c r="F316" s="96"/>
      <c r="G316" s="96"/>
      <c r="H316" s="96">
        <v>13</v>
      </c>
      <c r="I316" s="96"/>
      <c r="J316" s="96"/>
      <c r="K316" s="96"/>
      <c r="L316" s="96"/>
      <c r="M316" s="96"/>
      <c r="N316" s="94"/>
      <c r="O316" s="97">
        <v>4</v>
      </c>
      <c r="P316" s="94">
        <v>0.8</v>
      </c>
      <c r="Q316" s="97"/>
      <c r="R316" s="94"/>
      <c r="S316" s="97">
        <v>116</v>
      </c>
      <c r="T316" s="94"/>
      <c r="U316" s="97"/>
      <c r="V316" s="95"/>
      <c r="W316" s="97"/>
      <c r="X316" s="94"/>
      <c r="Y316" s="97"/>
      <c r="Z316" s="94"/>
      <c r="AA316" s="97"/>
      <c r="AB316" s="95"/>
      <c r="AC316" s="98"/>
      <c r="AD316" s="94"/>
    </row>
    <row r="317" spans="1:30" ht="129.75" thickBot="1">
      <c r="A317" s="83">
        <v>2</v>
      </c>
      <c r="B317" s="22" t="s">
        <v>69</v>
      </c>
      <c r="C317" s="8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3"/>
      <c r="O317" s="84">
        <v>8</v>
      </c>
      <c r="P317" s="83"/>
      <c r="Q317" s="87"/>
      <c r="R317" s="83"/>
      <c r="S317" s="84">
        <v>90</v>
      </c>
      <c r="T317" s="83"/>
      <c r="U317" s="87"/>
      <c r="V317" s="83"/>
      <c r="W317" s="87"/>
      <c r="X317" s="83"/>
      <c r="Y317" s="87"/>
      <c r="Z317" s="83"/>
      <c r="AA317" s="87"/>
      <c r="AB317" s="83">
        <v>2</v>
      </c>
      <c r="AC317" s="90"/>
      <c r="AD317" s="84"/>
    </row>
    <row r="318" spans="1:30" ht="65.25" thickBot="1">
      <c r="A318" s="83">
        <v>86</v>
      </c>
      <c r="B318" s="22" t="s">
        <v>206</v>
      </c>
      <c r="C318" s="86">
        <v>20</v>
      </c>
      <c r="D318" s="86"/>
      <c r="E318" s="86"/>
      <c r="F318" s="86"/>
      <c r="G318" s="86"/>
      <c r="H318" s="86"/>
      <c r="I318" s="86"/>
      <c r="J318" s="86"/>
      <c r="K318" s="86"/>
      <c r="L318" s="86">
        <v>10</v>
      </c>
      <c r="M318" s="8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7"/>
      <c r="AD318" s="83"/>
    </row>
    <row r="319" spans="1:30" ht="65.25" thickBot="1">
      <c r="A319" s="83"/>
      <c r="B319" s="22" t="s">
        <v>6</v>
      </c>
      <c r="C319" s="84">
        <f>SUM(C316+C317+C318)</f>
        <v>20</v>
      </c>
      <c r="D319" s="84">
        <f aca="true" t="shared" si="54" ref="D319:AD319">SUM(D316+D317+D318)</f>
        <v>0</v>
      </c>
      <c r="E319" s="84">
        <f t="shared" si="54"/>
        <v>0</v>
      </c>
      <c r="F319" s="84">
        <f t="shared" si="54"/>
        <v>0</v>
      </c>
      <c r="G319" s="84">
        <f t="shared" si="54"/>
        <v>0</v>
      </c>
      <c r="H319" s="84">
        <f t="shared" si="54"/>
        <v>13</v>
      </c>
      <c r="I319" s="84">
        <f t="shared" si="54"/>
        <v>0</v>
      </c>
      <c r="J319" s="84">
        <f t="shared" si="54"/>
        <v>0</v>
      </c>
      <c r="K319" s="84">
        <f t="shared" si="54"/>
        <v>0</v>
      </c>
      <c r="L319" s="84">
        <f t="shared" si="54"/>
        <v>10</v>
      </c>
      <c r="M319" s="84">
        <f t="shared" si="54"/>
        <v>0</v>
      </c>
      <c r="N319" s="84">
        <f t="shared" si="54"/>
        <v>0</v>
      </c>
      <c r="O319" s="84">
        <f t="shared" si="54"/>
        <v>12</v>
      </c>
      <c r="P319" s="84">
        <f t="shared" si="54"/>
        <v>0.8</v>
      </c>
      <c r="Q319" s="84">
        <f t="shared" si="54"/>
        <v>0</v>
      </c>
      <c r="R319" s="84">
        <f t="shared" si="54"/>
        <v>0</v>
      </c>
      <c r="S319" s="84">
        <f t="shared" si="54"/>
        <v>206</v>
      </c>
      <c r="T319" s="84">
        <f t="shared" si="54"/>
        <v>0</v>
      </c>
      <c r="U319" s="84">
        <f t="shared" si="54"/>
        <v>0</v>
      </c>
      <c r="V319" s="84">
        <f t="shared" si="54"/>
        <v>0</v>
      </c>
      <c r="W319" s="84">
        <f t="shared" si="54"/>
        <v>0</v>
      </c>
      <c r="X319" s="84">
        <f t="shared" si="54"/>
        <v>0</v>
      </c>
      <c r="Y319" s="84">
        <f t="shared" si="54"/>
        <v>0</v>
      </c>
      <c r="Z319" s="84">
        <f t="shared" si="54"/>
        <v>0</v>
      </c>
      <c r="AA319" s="84">
        <f t="shared" si="54"/>
        <v>0</v>
      </c>
      <c r="AB319" s="84">
        <f t="shared" si="54"/>
        <v>2</v>
      </c>
      <c r="AC319" s="88">
        <f t="shared" si="54"/>
        <v>0</v>
      </c>
      <c r="AD319" s="84">
        <f t="shared" si="54"/>
        <v>0</v>
      </c>
    </row>
    <row r="320" spans="1:30" ht="65.25" thickBot="1">
      <c r="A320" s="155" t="s">
        <v>53</v>
      </c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7"/>
    </row>
    <row r="321" spans="1:30" ht="65.25" thickBot="1">
      <c r="A321" s="83" t="s">
        <v>32</v>
      </c>
      <c r="B321" s="25" t="s">
        <v>182</v>
      </c>
      <c r="C321" s="84"/>
      <c r="D321" s="86"/>
      <c r="E321" s="86"/>
      <c r="F321" s="86"/>
      <c r="G321" s="86"/>
      <c r="H321" s="86"/>
      <c r="I321" s="86"/>
      <c r="J321" s="86"/>
      <c r="K321" s="86">
        <v>100</v>
      </c>
      <c r="L321" s="86"/>
      <c r="M321" s="86"/>
      <c r="N321" s="87"/>
      <c r="O321" s="84"/>
      <c r="P321" s="87"/>
      <c r="Q321" s="84"/>
      <c r="R321" s="87"/>
      <c r="S321" s="84"/>
      <c r="T321" s="87"/>
      <c r="U321" s="84"/>
      <c r="V321" s="84"/>
      <c r="W321" s="87"/>
      <c r="X321" s="84"/>
      <c r="Y321" s="84"/>
      <c r="Z321" s="87"/>
      <c r="AA321" s="84"/>
      <c r="AB321" s="87"/>
      <c r="AC321" s="88"/>
      <c r="AD321" s="83"/>
    </row>
    <row r="322" spans="1:30" ht="65.25" thickBot="1">
      <c r="A322" s="83"/>
      <c r="B322" s="22" t="s">
        <v>29</v>
      </c>
      <c r="C322" s="86">
        <f>SUM(C321)</f>
        <v>0</v>
      </c>
      <c r="D322" s="86">
        <f>SUM(D321)</f>
        <v>0</v>
      </c>
      <c r="E322" s="86">
        <f aca="true" t="shared" si="55" ref="E322:AC322">SUM(E321)</f>
        <v>0</v>
      </c>
      <c r="F322" s="86">
        <f t="shared" si="55"/>
        <v>0</v>
      </c>
      <c r="G322" s="86">
        <f t="shared" si="55"/>
        <v>0</v>
      </c>
      <c r="H322" s="86">
        <f t="shared" si="55"/>
        <v>0</v>
      </c>
      <c r="I322" s="86">
        <f t="shared" si="55"/>
        <v>0</v>
      </c>
      <c r="J322" s="86">
        <f t="shared" si="55"/>
        <v>0</v>
      </c>
      <c r="K322" s="86">
        <f t="shared" si="55"/>
        <v>100</v>
      </c>
      <c r="L322" s="86">
        <f t="shared" si="55"/>
        <v>0</v>
      </c>
      <c r="M322" s="86">
        <f t="shared" si="55"/>
        <v>0</v>
      </c>
      <c r="N322" s="86">
        <f t="shared" si="55"/>
        <v>0</v>
      </c>
      <c r="O322" s="86">
        <f t="shared" si="55"/>
        <v>0</v>
      </c>
      <c r="P322" s="86">
        <f t="shared" si="55"/>
        <v>0</v>
      </c>
      <c r="Q322" s="86">
        <f t="shared" si="55"/>
        <v>0</v>
      </c>
      <c r="R322" s="86">
        <f t="shared" si="55"/>
        <v>0</v>
      </c>
      <c r="S322" s="86">
        <f t="shared" si="55"/>
        <v>0</v>
      </c>
      <c r="T322" s="86">
        <f t="shared" si="55"/>
        <v>0</v>
      </c>
      <c r="U322" s="86">
        <f t="shared" si="55"/>
        <v>0</v>
      </c>
      <c r="V322" s="86">
        <f t="shared" si="55"/>
        <v>0</v>
      </c>
      <c r="W322" s="86">
        <f t="shared" si="55"/>
        <v>0</v>
      </c>
      <c r="X322" s="86">
        <f t="shared" si="55"/>
        <v>0</v>
      </c>
      <c r="Y322" s="86">
        <f t="shared" si="55"/>
        <v>0</v>
      </c>
      <c r="Z322" s="86">
        <f t="shared" si="55"/>
        <v>0</v>
      </c>
      <c r="AA322" s="86">
        <f t="shared" si="55"/>
        <v>0</v>
      </c>
      <c r="AB322" s="86">
        <f t="shared" si="55"/>
        <v>0</v>
      </c>
      <c r="AC322" s="87">
        <f t="shared" si="55"/>
        <v>0</v>
      </c>
      <c r="AD322" s="83">
        <f>SUM(AD321)</f>
        <v>0</v>
      </c>
    </row>
    <row r="323" spans="1:30" ht="65.25" thickBot="1">
      <c r="A323" s="150" t="s">
        <v>8</v>
      </c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2"/>
    </row>
    <row r="324" spans="1:30" ht="129.75" thickBot="1">
      <c r="A324" s="84">
        <v>88</v>
      </c>
      <c r="B324" s="129" t="s">
        <v>213</v>
      </c>
      <c r="C324" s="84"/>
      <c r="D324" s="86"/>
      <c r="E324" s="86"/>
      <c r="F324" s="86"/>
      <c r="G324" s="86"/>
      <c r="H324" s="86"/>
      <c r="I324" s="86"/>
      <c r="J324" s="86">
        <v>28</v>
      </c>
      <c r="K324" s="86"/>
      <c r="L324" s="86"/>
      <c r="M324" s="86"/>
      <c r="N324" s="87"/>
      <c r="O324" s="83"/>
      <c r="P324" s="87"/>
      <c r="Q324" s="83">
        <v>3</v>
      </c>
      <c r="R324" s="87"/>
      <c r="S324" s="83"/>
      <c r="T324" s="87"/>
      <c r="U324" s="84"/>
      <c r="V324" s="83"/>
      <c r="W324" s="87"/>
      <c r="X324" s="84"/>
      <c r="Y324" s="83"/>
      <c r="Z324" s="87"/>
      <c r="AA324" s="83"/>
      <c r="AB324" s="84"/>
      <c r="AC324" s="88"/>
      <c r="AD324" s="80"/>
    </row>
    <row r="325" spans="1:30" ht="129.75" thickBot="1">
      <c r="A325" s="83">
        <v>59</v>
      </c>
      <c r="B325" s="22" t="s">
        <v>265</v>
      </c>
      <c r="C325" s="84"/>
      <c r="D325" s="86"/>
      <c r="E325" s="86"/>
      <c r="F325" s="86"/>
      <c r="G325" s="86"/>
      <c r="H325" s="86"/>
      <c r="I325" s="86">
        <v>29</v>
      </c>
      <c r="J325" s="86">
        <v>40.2</v>
      </c>
      <c r="K325" s="86"/>
      <c r="L325" s="86"/>
      <c r="M325" s="86"/>
      <c r="N325" s="83"/>
      <c r="O325" s="87"/>
      <c r="P325" s="83">
        <v>2</v>
      </c>
      <c r="Q325" s="87"/>
      <c r="R325" s="83"/>
      <c r="S325" s="87"/>
      <c r="T325" s="83"/>
      <c r="U325" s="87"/>
      <c r="V325" s="83">
        <v>10</v>
      </c>
      <c r="W325" s="87"/>
      <c r="X325" s="83"/>
      <c r="Y325" s="84">
        <v>7</v>
      </c>
      <c r="Z325" s="83"/>
      <c r="AA325" s="83"/>
      <c r="AB325" s="87"/>
      <c r="AC325" s="90"/>
      <c r="AD325" s="83"/>
    </row>
    <row r="326" spans="1:30" ht="65.25" thickBot="1">
      <c r="A326" s="84">
        <v>62</v>
      </c>
      <c r="B326" s="22" t="s">
        <v>235</v>
      </c>
      <c r="C326" s="83"/>
      <c r="D326" s="86"/>
      <c r="E326" s="86"/>
      <c r="F326" s="86"/>
      <c r="G326" s="86">
        <v>41</v>
      </c>
      <c r="H326" s="86"/>
      <c r="I326" s="86"/>
      <c r="J326" s="86">
        <v>20</v>
      </c>
      <c r="K326" s="86"/>
      <c r="L326" s="86"/>
      <c r="M326" s="86"/>
      <c r="N326" s="86"/>
      <c r="O326" s="86"/>
      <c r="P326" s="86">
        <v>1.5</v>
      </c>
      <c r="Q326" s="86">
        <v>6</v>
      </c>
      <c r="R326" s="86"/>
      <c r="S326" s="86"/>
      <c r="T326" s="86"/>
      <c r="U326" s="86"/>
      <c r="V326" s="86"/>
      <c r="W326" s="86">
        <v>106</v>
      </c>
      <c r="X326" s="86"/>
      <c r="Y326" s="86"/>
      <c r="Z326" s="86"/>
      <c r="AA326" s="86"/>
      <c r="AB326" s="86"/>
      <c r="AC326" s="87"/>
      <c r="AD326" s="83"/>
    </row>
    <row r="327" spans="1:30" ht="194.25" thickBot="1">
      <c r="A327" s="83">
        <v>20</v>
      </c>
      <c r="B327" s="22" t="s">
        <v>232</v>
      </c>
      <c r="C327" s="84"/>
      <c r="D327" s="85"/>
      <c r="E327" s="85"/>
      <c r="F327" s="85">
        <v>6.8</v>
      </c>
      <c r="G327" s="85"/>
      <c r="H327" s="86"/>
      <c r="I327" s="86"/>
      <c r="J327" s="86"/>
      <c r="K327" s="86"/>
      <c r="L327" s="86"/>
      <c r="M327" s="86"/>
      <c r="N327" s="87"/>
      <c r="O327" s="84">
        <v>6</v>
      </c>
      <c r="P327" s="87"/>
      <c r="Q327" s="84"/>
      <c r="R327" s="87"/>
      <c r="S327" s="84"/>
      <c r="T327" s="87"/>
      <c r="U327" s="83"/>
      <c r="V327" s="84"/>
      <c r="W327" s="87"/>
      <c r="X327" s="83"/>
      <c r="Y327" s="84"/>
      <c r="Z327" s="84"/>
      <c r="AA327" s="87"/>
      <c r="AB327" s="83"/>
      <c r="AC327" s="88"/>
      <c r="AD327" s="83"/>
    </row>
    <row r="328" spans="1:30" ht="129.75" thickBot="1">
      <c r="A328" s="83" t="s">
        <v>32</v>
      </c>
      <c r="B328" s="22" t="s">
        <v>56</v>
      </c>
      <c r="C328" s="84">
        <v>20</v>
      </c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7"/>
      <c r="U328" s="83"/>
      <c r="V328" s="86"/>
      <c r="W328" s="87"/>
      <c r="X328" s="83"/>
      <c r="Y328" s="86"/>
      <c r="Z328" s="86"/>
      <c r="AA328" s="86"/>
      <c r="AB328" s="86"/>
      <c r="AC328" s="87"/>
      <c r="AD328" s="83"/>
    </row>
    <row r="329" spans="1:30" ht="129.75" thickBot="1">
      <c r="A329" s="83" t="s">
        <v>32</v>
      </c>
      <c r="B329" s="22" t="s">
        <v>58</v>
      </c>
      <c r="C329" s="84"/>
      <c r="D329" s="86">
        <v>40</v>
      </c>
      <c r="E329" s="86"/>
      <c r="F329" s="86"/>
      <c r="G329" s="86"/>
      <c r="H329" s="86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91"/>
      <c r="AD329" s="83"/>
    </row>
    <row r="330" spans="1:30" ht="65.25" thickBot="1">
      <c r="A330" s="84"/>
      <c r="B330" s="25" t="s">
        <v>29</v>
      </c>
      <c r="C330" s="84">
        <f aca="true" t="shared" si="56" ref="C330:AD330">SUM(C324:C329)</f>
        <v>20</v>
      </c>
      <c r="D330" s="84">
        <f t="shared" si="56"/>
        <v>40</v>
      </c>
      <c r="E330" s="84">
        <f t="shared" si="56"/>
        <v>0</v>
      </c>
      <c r="F330" s="84">
        <f t="shared" si="56"/>
        <v>6.8</v>
      </c>
      <c r="G330" s="84">
        <f t="shared" si="56"/>
        <v>41</v>
      </c>
      <c r="H330" s="84">
        <f t="shared" si="56"/>
        <v>0</v>
      </c>
      <c r="I330" s="84">
        <f t="shared" si="56"/>
        <v>29</v>
      </c>
      <c r="J330" s="84">
        <f t="shared" si="56"/>
        <v>88.2</v>
      </c>
      <c r="K330" s="84">
        <f t="shared" si="56"/>
        <v>0</v>
      </c>
      <c r="L330" s="84">
        <f t="shared" si="56"/>
        <v>0</v>
      </c>
      <c r="M330" s="84">
        <f t="shared" si="56"/>
        <v>0</v>
      </c>
      <c r="N330" s="84">
        <f t="shared" si="56"/>
        <v>0</v>
      </c>
      <c r="O330" s="84">
        <f t="shared" si="56"/>
        <v>6</v>
      </c>
      <c r="P330" s="84">
        <f t="shared" si="56"/>
        <v>3.5</v>
      </c>
      <c r="Q330" s="84">
        <f t="shared" si="56"/>
        <v>9</v>
      </c>
      <c r="R330" s="84">
        <f t="shared" si="56"/>
        <v>0</v>
      </c>
      <c r="S330" s="84">
        <f t="shared" si="56"/>
        <v>0</v>
      </c>
      <c r="T330" s="84">
        <f t="shared" si="56"/>
        <v>0</v>
      </c>
      <c r="U330" s="84">
        <f t="shared" si="56"/>
        <v>0</v>
      </c>
      <c r="V330" s="84">
        <f t="shared" si="56"/>
        <v>10</v>
      </c>
      <c r="W330" s="84">
        <f t="shared" si="56"/>
        <v>106</v>
      </c>
      <c r="X330" s="84">
        <f t="shared" si="56"/>
        <v>0</v>
      </c>
      <c r="Y330" s="84">
        <f t="shared" si="56"/>
        <v>7</v>
      </c>
      <c r="Z330" s="84">
        <f t="shared" si="56"/>
        <v>0</v>
      </c>
      <c r="AA330" s="84">
        <f t="shared" si="56"/>
        <v>0</v>
      </c>
      <c r="AB330" s="84">
        <f t="shared" si="56"/>
        <v>0</v>
      </c>
      <c r="AC330" s="88">
        <f t="shared" si="56"/>
        <v>0</v>
      </c>
      <c r="AD330" s="84">
        <f t="shared" si="56"/>
        <v>0</v>
      </c>
    </row>
    <row r="331" spans="1:30" ht="65.25" thickBot="1">
      <c r="A331" s="150" t="s">
        <v>145</v>
      </c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2"/>
    </row>
    <row r="332" spans="1:30" ht="194.25" thickBot="1">
      <c r="A332" s="92">
        <v>21.1</v>
      </c>
      <c r="B332" s="27" t="s">
        <v>172</v>
      </c>
      <c r="C332" s="83"/>
      <c r="D332" s="86"/>
      <c r="E332" s="83"/>
      <c r="F332" s="83"/>
      <c r="G332" s="83"/>
      <c r="H332" s="86"/>
      <c r="I332" s="86"/>
      <c r="J332" s="86"/>
      <c r="K332" s="86"/>
      <c r="L332" s="86"/>
      <c r="M332" s="86"/>
      <c r="N332" s="87"/>
      <c r="O332" s="84"/>
      <c r="P332" s="87"/>
      <c r="Q332" s="84"/>
      <c r="R332" s="87"/>
      <c r="S332" s="84">
        <v>155</v>
      </c>
      <c r="T332" s="87"/>
      <c r="U332" s="84"/>
      <c r="V332" s="84"/>
      <c r="W332" s="87"/>
      <c r="X332" s="84"/>
      <c r="Y332" s="84"/>
      <c r="Z332" s="87"/>
      <c r="AA332" s="84"/>
      <c r="AB332" s="84"/>
      <c r="AC332" s="88"/>
      <c r="AD332" s="83"/>
    </row>
    <row r="333" spans="1:30" ht="129.75" thickBot="1">
      <c r="A333" s="84">
        <v>75</v>
      </c>
      <c r="B333" s="22" t="s">
        <v>214</v>
      </c>
      <c r="C333" s="84"/>
      <c r="D333" s="86"/>
      <c r="E333" s="86">
        <v>25</v>
      </c>
      <c r="F333" s="86"/>
      <c r="G333" s="86"/>
      <c r="H333" s="86"/>
      <c r="I333" s="85"/>
      <c r="J333" s="85"/>
      <c r="K333" s="85"/>
      <c r="L333" s="85">
        <v>10</v>
      </c>
      <c r="M333" s="85"/>
      <c r="N333" s="85"/>
      <c r="O333" s="85">
        <v>9</v>
      </c>
      <c r="P333" s="85">
        <v>9</v>
      </c>
      <c r="Q333" s="85">
        <v>0.9</v>
      </c>
      <c r="R333" s="85">
        <v>3</v>
      </c>
      <c r="S333" s="85"/>
      <c r="T333" s="85">
        <v>21</v>
      </c>
      <c r="U333" s="85"/>
      <c r="V333" s="85"/>
      <c r="W333" s="85"/>
      <c r="X333" s="85"/>
      <c r="Y333" s="85">
        <v>1.8</v>
      </c>
      <c r="Z333" s="85"/>
      <c r="AA333" s="85"/>
      <c r="AB333" s="85"/>
      <c r="AC333" s="91"/>
      <c r="AD333" s="84"/>
    </row>
    <row r="334" spans="1:30" ht="65.25" thickBot="1">
      <c r="A334" s="84"/>
      <c r="B334" s="25" t="s">
        <v>29</v>
      </c>
      <c r="C334" s="84">
        <f aca="true" t="shared" si="57" ref="C334:AD334">C332+C333</f>
        <v>0</v>
      </c>
      <c r="D334" s="84">
        <f t="shared" si="57"/>
        <v>0</v>
      </c>
      <c r="E334" s="84">
        <f t="shared" si="57"/>
        <v>25</v>
      </c>
      <c r="F334" s="84">
        <f t="shared" si="57"/>
        <v>0</v>
      </c>
      <c r="G334" s="84">
        <f t="shared" si="57"/>
        <v>0</v>
      </c>
      <c r="H334" s="84">
        <f t="shared" si="57"/>
        <v>0</v>
      </c>
      <c r="I334" s="84">
        <f t="shared" si="57"/>
        <v>0</v>
      </c>
      <c r="J334" s="84">
        <f t="shared" si="57"/>
        <v>0</v>
      </c>
      <c r="K334" s="84">
        <f t="shared" si="57"/>
        <v>0</v>
      </c>
      <c r="L334" s="84">
        <f t="shared" si="57"/>
        <v>10</v>
      </c>
      <c r="M334" s="84">
        <f t="shared" si="57"/>
        <v>0</v>
      </c>
      <c r="N334" s="84">
        <f t="shared" si="57"/>
        <v>0</v>
      </c>
      <c r="O334" s="84">
        <f t="shared" si="57"/>
        <v>9</v>
      </c>
      <c r="P334" s="84">
        <f t="shared" si="57"/>
        <v>9</v>
      </c>
      <c r="Q334" s="84">
        <f t="shared" si="57"/>
        <v>0.9</v>
      </c>
      <c r="R334" s="84">
        <f t="shared" si="57"/>
        <v>3</v>
      </c>
      <c r="S334" s="84">
        <f t="shared" si="57"/>
        <v>155</v>
      </c>
      <c r="T334" s="84">
        <f t="shared" si="57"/>
        <v>21</v>
      </c>
      <c r="U334" s="84">
        <f t="shared" si="57"/>
        <v>0</v>
      </c>
      <c r="V334" s="84">
        <f t="shared" si="57"/>
        <v>0</v>
      </c>
      <c r="W334" s="84">
        <f t="shared" si="57"/>
        <v>0</v>
      </c>
      <c r="X334" s="84">
        <f t="shared" si="57"/>
        <v>0</v>
      </c>
      <c r="Y334" s="84">
        <f t="shared" si="57"/>
        <v>1.8</v>
      </c>
      <c r="Z334" s="84">
        <f t="shared" si="57"/>
        <v>0</v>
      </c>
      <c r="AA334" s="84">
        <f t="shared" si="57"/>
        <v>0</v>
      </c>
      <c r="AB334" s="84">
        <f t="shared" si="57"/>
        <v>0</v>
      </c>
      <c r="AC334" s="88">
        <f t="shared" si="57"/>
        <v>0</v>
      </c>
      <c r="AD334" s="84">
        <f t="shared" si="57"/>
        <v>0</v>
      </c>
    </row>
    <row r="335" spans="1:30" ht="65.25" thickBot="1">
      <c r="A335" s="150" t="s">
        <v>144</v>
      </c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2"/>
    </row>
    <row r="336" spans="1:30" ht="129.75" thickBot="1">
      <c r="A336" s="84">
        <v>44</v>
      </c>
      <c r="B336" s="22" t="s">
        <v>254</v>
      </c>
      <c r="C336" s="86"/>
      <c r="D336" s="86"/>
      <c r="E336" s="86">
        <v>2</v>
      </c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>
        <v>4</v>
      </c>
      <c r="R336" s="86">
        <v>13</v>
      </c>
      <c r="S336" s="86">
        <v>6</v>
      </c>
      <c r="T336" s="86"/>
      <c r="U336" s="86"/>
      <c r="V336" s="86"/>
      <c r="W336" s="86"/>
      <c r="X336" s="86">
        <v>76</v>
      </c>
      <c r="Y336" s="86"/>
      <c r="Z336" s="86"/>
      <c r="AA336" s="86"/>
      <c r="AB336" s="86"/>
      <c r="AC336" s="87"/>
      <c r="AD336" s="83"/>
    </row>
    <row r="337" spans="1:30" ht="65.25" thickBot="1">
      <c r="A337" s="84">
        <v>79</v>
      </c>
      <c r="B337" s="22" t="s">
        <v>262</v>
      </c>
      <c r="C337" s="84"/>
      <c r="D337" s="86"/>
      <c r="E337" s="86"/>
      <c r="F337" s="86"/>
      <c r="G337" s="86"/>
      <c r="H337" s="86"/>
      <c r="I337" s="86">
        <v>114</v>
      </c>
      <c r="J337" s="86"/>
      <c r="K337" s="86"/>
      <c r="L337" s="86"/>
      <c r="M337" s="86"/>
      <c r="N337" s="87"/>
      <c r="O337" s="83"/>
      <c r="P337" s="87">
        <v>5</v>
      </c>
      <c r="Q337" s="83"/>
      <c r="R337" s="87"/>
      <c r="S337" s="83"/>
      <c r="T337" s="90"/>
      <c r="U337" s="83"/>
      <c r="V337" s="83"/>
      <c r="W337" s="87"/>
      <c r="X337" s="83"/>
      <c r="Y337" s="83"/>
      <c r="Z337" s="87"/>
      <c r="AA337" s="83"/>
      <c r="AB337" s="87"/>
      <c r="AC337" s="90"/>
      <c r="AD337" s="83"/>
    </row>
    <row r="338" spans="1:30" ht="129.75" thickBot="1">
      <c r="A338" s="83" t="s">
        <v>32</v>
      </c>
      <c r="B338" s="22" t="s">
        <v>56</v>
      </c>
      <c r="C338" s="86">
        <v>15</v>
      </c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7"/>
      <c r="U338" s="83"/>
      <c r="V338" s="86"/>
      <c r="W338" s="87"/>
      <c r="X338" s="83"/>
      <c r="Y338" s="86"/>
      <c r="Z338" s="86"/>
      <c r="AA338" s="86"/>
      <c r="AB338" s="86"/>
      <c r="AC338" s="87"/>
      <c r="AD338" s="83"/>
    </row>
    <row r="339" spans="1:30" ht="65.25" thickBot="1">
      <c r="A339" s="89">
        <v>31</v>
      </c>
      <c r="B339" s="23" t="s">
        <v>9</v>
      </c>
      <c r="C339" s="84"/>
      <c r="D339" s="86"/>
      <c r="E339" s="86"/>
      <c r="F339" s="86"/>
      <c r="G339" s="86"/>
      <c r="H339" s="86"/>
      <c r="I339" s="86"/>
      <c r="J339" s="86"/>
      <c r="K339" s="86"/>
      <c r="L339" s="86">
        <v>4</v>
      </c>
      <c r="M339" s="86"/>
      <c r="N339" s="86"/>
      <c r="O339" s="84">
        <v>10</v>
      </c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4">
        <v>0.48</v>
      </c>
      <c r="AB339" s="86"/>
      <c r="AC339" s="87"/>
      <c r="AD339" s="83"/>
    </row>
    <row r="340" spans="1:30" ht="129.75" thickBot="1">
      <c r="A340" s="83">
        <v>69</v>
      </c>
      <c r="B340" s="22" t="s">
        <v>106</v>
      </c>
      <c r="C340" s="84"/>
      <c r="D340" s="86"/>
      <c r="E340" s="86"/>
      <c r="F340" s="86"/>
      <c r="G340" s="86"/>
      <c r="H340" s="86"/>
      <c r="I340" s="86"/>
      <c r="J340" s="86"/>
      <c r="K340" s="86"/>
      <c r="L340" s="86">
        <v>85</v>
      </c>
      <c r="M340" s="8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7"/>
      <c r="AD340" s="84"/>
    </row>
    <row r="341" spans="1:30" ht="65.25" thickBot="1">
      <c r="A341" s="83"/>
      <c r="B341" s="22" t="s">
        <v>29</v>
      </c>
      <c r="C341" s="84">
        <f aca="true" t="shared" si="58" ref="C341:AD341">SUM(C336:C340)</f>
        <v>15</v>
      </c>
      <c r="D341" s="84">
        <f t="shared" si="58"/>
        <v>0</v>
      </c>
      <c r="E341" s="84">
        <f t="shared" si="58"/>
        <v>2</v>
      </c>
      <c r="F341" s="84">
        <f t="shared" si="58"/>
        <v>0</v>
      </c>
      <c r="G341" s="84">
        <f t="shared" si="58"/>
        <v>0</v>
      </c>
      <c r="H341" s="84">
        <f t="shared" si="58"/>
        <v>0</v>
      </c>
      <c r="I341" s="84">
        <f t="shared" si="58"/>
        <v>114</v>
      </c>
      <c r="J341" s="84">
        <f t="shared" si="58"/>
        <v>0</v>
      </c>
      <c r="K341" s="84">
        <f t="shared" si="58"/>
        <v>0</v>
      </c>
      <c r="L341" s="84">
        <f t="shared" si="58"/>
        <v>89</v>
      </c>
      <c r="M341" s="84">
        <f t="shared" si="58"/>
        <v>0</v>
      </c>
      <c r="N341" s="84">
        <f t="shared" si="58"/>
        <v>0</v>
      </c>
      <c r="O341" s="84">
        <f t="shared" si="58"/>
        <v>10</v>
      </c>
      <c r="P341" s="84">
        <f t="shared" si="58"/>
        <v>5</v>
      </c>
      <c r="Q341" s="84">
        <f t="shared" si="58"/>
        <v>4</v>
      </c>
      <c r="R341" s="84">
        <f t="shared" si="58"/>
        <v>13</v>
      </c>
      <c r="S341" s="84">
        <f t="shared" si="58"/>
        <v>6</v>
      </c>
      <c r="T341" s="84">
        <f t="shared" si="58"/>
        <v>0</v>
      </c>
      <c r="U341" s="84">
        <f t="shared" si="58"/>
        <v>0</v>
      </c>
      <c r="V341" s="84">
        <f t="shared" si="58"/>
        <v>0</v>
      </c>
      <c r="W341" s="84">
        <f t="shared" si="58"/>
        <v>0</v>
      </c>
      <c r="X341" s="84">
        <f t="shared" si="58"/>
        <v>76</v>
      </c>
      <c r="Y341" s="84">
        <f t="shared" si="58"/>
        <v>0</v>
      </c>
      <c r="Z341" s="84">
        <f t="shared" si="58"/>
        <v>0</v>
      </c>
      <c r="AA341" s="84">
        <f t="shared" si="58"/>
        <v>0.48</v>
      </c>
      <c r="AB341" s="84">
        <f t="shared" si="58"/>
        <v>0</v>
      </c>
      <c r="AC341" s="88">
        <f t="shared" si="58"/>
        <v>0</v>
      </c>
      <c r="AD341" s="84">
        <f t="shared" si="58"/>
        <v>0</v>
      </c>
    </row>
    <row r="342" spans="1:30" ht="194.25" thickBot="1">
      <c r="A342" s="145"/>
      <c r="B342" s="22" t="s">
        <v>148</v>
      </c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8"/>
      <c r="AD342" s="84"/>
    </row>
    <row r="343" spans="1:30" ht="65.25" thickBot="1">
      <c r="A343" s="83"/>
      <c r="B343" s="93" t="s">
        <v>10</v>
      </c>
      <c r="C343" s="84">
        <f aca="true" t="shared" si="59" ref="C343:AD343">C319+C322+C330+C334+C341</f>
        <v>55</v>
      </c>
      <c r="D343" s="84">
        <f t="shared" si="59"/>
        <v>40</v>
      </c>
      <c r="E343" s="84">
        <f t="shared" si="59"/>
        <v>27</v>
      </c>
      <c r="F343" s="84">
        <f t="shared" si="59"/>
        <v>6.8</v>
      </c>
      <c r="G343" s="84">
        <f t="shared" si="59"/>
        <v>41</v>
      </c>
      <c r="H343" s="84">
        <f t="shared" si="59"/>
        <v>13</v>
      </c>
      <c r="I343" s="84">
        <f t="shared" si="59"/>
        <v>143</v>
      </c>
      <c r="J343" s="84">
        <f t="shared" si="59"/>
        <v>88.2</v>
      </c>
      <c r="K343" s="84">
        <f t="shared" si="59"/>
        <v>100</v>
      </c>
      <c r="L343" s="84">
        <f t="shared" si="59"/>
        <v>109</v>
      </c>
      <c r="M343" s="84">
        <f t="shared" si="59"/>
        <v>0</v>
      </c>
      <c r="N343" s="84">
        <f t="shared" si="59"/>
        <v>0</v>
      </c>
      <c r="O343" s="84">
        <f t="shared" si="59"/>
        <v>37</v>
      </c>
      <c r="P343" s="84">
        <f t="shared" si="59"/>
        <v>18.3</v>
      </c>
      <c r="Q343" s="84">
        <f t="shared" si="59"/>
        <v>13.9</v>
      </c>
      <c r="R343" s="84">
        <f t="shared" si="59"/>
        <v>16</v>
      </c>
      <c r="S343" s="84">
        <f t="shared" si="59"/>
        <v>367</v>
      </c>
      <c r="T343" s="84">
        <f t="shared" si="59"/>
        <v>21</v>
      </c>
      <c r="U343" s="84">
        <f t="shared" si="59"/>
        <v>0</v>
      </c>
      <c r="V343" s="84">
        <f t="shared" si="59"/>
        <v>10</v>
      </c>
      <c r="W343" s="84">
        <f t="shared" si="59"/>
        <v>106</v>
      </c>
      <c r="X343" s="84">
        <f t="shared" si="59"/>
        <v>76</v>
      </c>
      <c r="Y343" s="84">
        <f t="shared" si="59"/>
        <v>8.8</v>
      </c>
      <c r="Z343" s="84">
        <f t="shared" si="59"/>
        <v>0</v>
      </c>
      <c r="AA343" s="84">
        <f t="shared" si="59"/>
        <v>0.48</v>
      </c>
      <c r="AB343" s="84">
        <f t="shared" si="59"/>
        <v>2</v>
      </c>
      <c r="AC343" s="88">
        <f t="shared" si="59"/>
        <v>0</v>
      </c>
      <c r="AD343" s="84">
        <f t="shared" si="59"/>
        <v>0</v>
      </c>
    </row>
    <row r="344" spans="1:30" ht="65.25" thickBot="1">
      <c r="A344" s="150" t="s">
        <v>62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2"/>
    </row>
    <row r="345" spans="1:30" ht="65.25" thickBot="1">
      <c r="A345" s="150" t="s">
        <v>86</v>
      </c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2"/>
    </row>
    <row r="346" spans="1:30" ht="46.5" customHeight="1">
      <c r="A346" s="166" t="s">
        <v>30</v>
      </c>
      <c r="B346" s="168" t="s">
        <v>23</v>
      </c>
      <c r="C346" s="153" t="s">
        <v>116</v>
      </c>
      <c r="D346" s="153" t="s">
        <v>117</v>
      </c>
      <c r="E346" s="153" t="s">
        <v>118</v>
      </c>
      <c r="F346" s="153" t="s">
        <v>119</v>
      </c>
      <c r="G346" s="153" t="s">
        <v>120</v>
      </c>
      <c r="H346" s="153" t="s">
        <v>121</v>
      </c>
      <c r="I346" s="153" t="s">
        <v>110</v>
      </c>
      <c r="J346" s="153" t="s">
        <v>257</v>
      </c>
      <c r="K346" s="140"/>
      <c r="L346" s="153" t="s">
        <v>142</v>
      </c>
      <c r="M346" s="153" t="s">
        <v>79</v>
      </c>
      <c r="N346" s="153" t="s">
        <v>123</v>
      </c>
      <c r="O346" s="153" t="s">
        <v>80</v>
      </c>
      <c r="P346" s="153" t="s">
        <v>124</v>
      </c>
      <c r="Q346" s="153" t="s">
        <v>81</v>
      </c>
      <c r="R346" s="153" t="s">
        <v>125</v>
      </c>
      <c r="S346" s="153" t="s">
        <v>126</v>
      </c>
      <c r="T346" s="153" t="s">
        <v>127</v>
      </c>
      <c r="U346" s="140"/>
      <c r="V346" s="153" t="s">
        <v>113</v>
      </c>
      <c r="W346" s="153" t="s">
        <v>129</v>
      </c>
      <c r="X346" s="153" t="s">
        <v>84</v>
      </c>
      <c r="Y346" s="153" t="s">
        <v>82</v>
      </c>
      <c r="Z346" s="153" t="s">
        <v>83</v>
      </c>
      <c r="AA346" s="153" t="s">
        <v>85</v>
      </c>
      <c r="AB346" s="140"/>
      <c r="AC346" s="158" t="s">
        <v>78</v>
      </c>
      <c r="AD346" s="153" t="s">
        <v>138</v>
      </c>
    </row>
    <row r="347" spans="1:30" ht="409.5" customHeight="1" thickBot="1">
      <c r="A347" s="167"/>
      <c r="B347" s="169"/>
      <c r="C347" s="154"/>
      <c r="D347" s="154"/>
      <c r="E347" s="154"/>
      <c r="F347" s="154"/>
      <c r="G347" s="154"/>
      <c r="H347" s="154"/>
      <c r="I347" s="154"/>
      <c r="J347" s="154"/>
      <c r="K347" s="141" t="s">
        <v>122</v>
      </c>
      <c r="L347" s="154"/>
      <c r="M347" s="154"/>
      <c r="N347" s="154"/>
      <c r="O347" s="154"/>
      <c r="P347" s="154"/>
      <c r="Q347" s="154"/>
      <c r="R347" s="154"/>
      <c r="S347" s="154"/>
      <c r="T347" s="154"/>
      <c r="U347" s="141" t="s">
        <v>128</v>
      </c>
      <c r="V347" s="154"/>
      <c r="W347" s="154"/>
      <c r="X347" s="154"/>
      <c r="Y347" s="154"/>
      <c r="Z347" s="154"/>
      <c r="AA347" s="154"/>
      <c r="AB347" s="141" t="s">
        <v>77</v>
      </c>
      <c r="AC347" s="159"/>
      <c r="AD347" s="154"/>
    </row>
    <row r="348" spans="1:30" ht="65.25" thickBot="1">
      <c r="A348" s="145">
        <v>1</v>
      </c>
      <c r="B348" s="79">
        <v>2</v>
      </c>
      <c r="C348" s="80" t="s">
        <v>54</v>
      </c>
      <c r="D348" s="81">
        <v>4</v>
      </c>
      <c r="E348" s="80">
        <v>5</v>
      </c>
      <c r="F348" s="80">
        <v>6</v>
      </c>
      <c r="G348" s="80">
        <v>7</v>
      </c>
      <c r="H348" s="80">
        <v>8</v>
      </c>
      <c r="I348" s="80" t="s">
        <v>55</v>
      </c>
      <c r="J348" s="81">
        <v>10</v>
      </c>
      <c r="K348" s="80">
        <v>11</v>
      </c>
      <c r="L348" s="80">
        <v>12</v>
      </c>
      <c r="M348" s="80">
        <v>13</v>
      </c>
      <c r="N348" s="80">
        <v>14</v>
      </c>
      <c r="O348" s="80">
        <v>15</v>
      </c>
      <c r="P348" s="143">
        <v>16</v>
      </c>
      <c r="Q348" s="80">
        <v>17</v>
      </c>
      <c r="R348" s="143">
        <v>18</v>
      </c>
      <c r="S348" s="80">
        <v>19</v>
      </c>
      <c r="T348" s="143">
        <v>20</v>
      </c>
      <c r="U348" s="143">
        <v>21</v>
      </c>
      <c r="V348" s="80">
        <v>22</v>
      </c>
      <c r="W348" s="80">
        <v>23</v>
      </c>
      <c r="X348" s="143">
        <v>24</v>
      </c>
      <c r="Y348" s="80">
        <v>25</v>
      </c>
      <c r="Z348" s="80">
        <v>26</v>
      </c>
      <c r="AA348" s="80">
        <v>27</v>
      </c>
      <c r="AB348" s="143">
        <v>28</v>
      </c>
      <c r="AC348" s="142">
        <v>29</v>
      </c>
      <c r="AD348" s="80">
        <v>31</v>
      </c>
    </row>
    <row r="349" spans="1:30" ht="65.25" thickBot="1">
      <c r="A349" s="150" t="s">
        <v>5</v>
      </c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2"/>
    </row>
    <row r="350" spans="1:30" ht="129.75" thickBot="1">
      <c r="A350" s="84">
        <v>85</v>
      </c>
      <c r="B350" s="25" t="s">
        <v>103</v>
      </c>
      <c r="C350" s="84"/>
      <c r="D350" s="85"/>
      <c r="E350" s="85"/>
      <c r="F350" s="85"/>
      <c r="G350" s="85"/>
      <c r="H350" s="86">
        <v>42</v>
      </c>
      <c r="I350" s="86"/>
      <c r="J350" s="86"/>
      <c r="K350" s="86"/>
      <c r="L350" s="86"/>
      <c r="M350" s="86"/>
      <c r="N350" s="87"/>
      <c r="O350" s="84"/>
      <c r="P350" s="87">
        <v>5</v>
      </c>
      <c r="Q350" s="84"/>
      <c r="R350" s="87"/>
      <c r="S350" s="84"/>
      <c r="T350" s="87"/>
      <c r="U350" s="84"/>
      <c r="V350" s="84"/>
      <c r="W350" s="84"/>
      <c r="X350" s="87"/>
      <c r="Y350" s="84"/>
      <c r="Z350" s="84">
        <v>10</v>
      </c>
      <c r="AA350" s="84"/>
      <c r="AB350" s="87"/>
      <c r="AC350" s="88"/>
      <c r="AD350" s="84"/>
    </row>
    <row r="351" spans="1:30" ht="65.25" thickBot="1">
      <c r="A351" s="84">
        <v>41</v>
      </c>
      <c r="B351" s="22" t="s">
        <v>101</v>
      </c>
      <c r="C351" s="84"/>
      <c r="D351" s="86"/>
      <c r="E351" s="86"/>
      <c r="F351" s="86"/>
      <c r="G351" s="86"/>
      <c r="H351" s="86"/>
      <c r="I351" s="86"/>
      <c r="J351" s="86">
        <v>42</v>
      </c>
      <c r="K351" s="86"/>
      <c r="L351" s="86"/>
      <c r="M351" s="86"/>
      <c r="N351" s="87"/>
      <c r="O351" s="83"/>
      <c r="P351" s="87"/>
      <c r="Q351" s="83"/>
      <c r="R351" s="87"/>
      <c r="S351" s="83"/>
      <c r="T351" s="87"/>
      <c r="U351" s="84"/>
      <c r="V351" s="83"/>
      <c r="W351" s="87"/>
      <c r="X351" s="84"/>
      <c r="Y351" s="83"/>
      <c r="Z351" s="87"/>
      <c r="AA351" s="83"/>
      <c r="AB351" s="84"/>
      <c r="AC351" s="88"/>
      <c r="AD351" s="83"/>
    </row>
    <row r="352" spans="1:30" ht="65.25" thickBot="1">
      <c r="A352" s="89">
        <v>31</v>
      </c>
      <c r="B352" s="23" t="s">
        <v>9</v>
      </c>
      <c r="C352" s="84"/>
      <c r="D352" s="86"/>
      <c r="E352" s="86"/>
      <c r="F352" s="86"/>
      <c r="G352" s="86"/>
      <c r="H352" s="86"/>
      <c r="I352" s="86"/>
      <c r="J352" s="86"/>
      <c r="K352" s="86"/>
      <c r="L352" s="86">
        <v>4</v>
      </c>
      <c r="M352" s="86"/>
      <c r="N352" s="86"/>
      <c r="O352" s="84">
        <v>10</v>
      </c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4">
        <v>0.48</v>
      </c>
      <c r="AB352" s="86"/>
      <c r="AC352" s="87"/>
      <c r="AD352" s="83"/>
    </row>
    <row r="353" spans="1:30" ht="65.25" thickBot="1">
      <c r="A353" s="83">
        <v>16</v>
      </c>
      <c r="B353" s="22" t="s">
        <v>36</v>
      </c>
      <c r="C353" s="86">
        <v>30</v>
      </c>
      <c r="D353" s="85"/>
      <c r="E353" s="85"/>
      <c r="F353" s="85"/>
      <c r="G353" s="85"/>
      <c r="H353" s="86"/>
      <c r="I353" s="86"/>
      <c r="J353" s="86"/>
      <c r="K353" s="86"/>
      <c r="L353" s="86"/>
      <c r="M353" s="86"/>
      <c r="N353" s="87"/>
      <c r="O353" s="84"/>
      <c r="P353" s="84">
        <v>5</v>
      </c>
      <c r="Q353" s="84"/>
      <c r="R353" s="87"/>
      <c r="S353" s="84"/>
      <c r="T353" s="87"/>
      <c r="U353" s="83"/>
      <c r="V353" s="84"/>
      <c r="W353" s="83"/>
      <c r="X353" s="87"/>
      <c r="Y353" s="84"/>
      <c r="Z353" s="84"/>
      <c r="AA353" s="87"/>
      <c r="AB353" s="83"/>
      <c r="AC353" s="88"/>
      <c r="AD353" s="84"/>
    </row>
    <row r="354" spans="1:30" ht="65.25" thickBot="1">
      <c r="A354" s="83"/>
      <c r="B354" s="22" t="s">
        <v>6</v>
      </c>
      <c r="C354" s="84">
        <f>SUM(C350:C353)</f>
        <v>30</v>
      </c>
      <c r="D354" s="84">
        <f>SUM(D350:D353)</f>
        <v>0</v>
      </c>
      <c r="E354" s="84">
        <f aca="true" t="shared" si="60" ref="E354:AD354">SUM(E350:E353)</f>
        <v>0</v>
      </c>
      <c r="F354" s="84">
        <f t="shared" si="60"/>
        <v>0</v>
      </c>
      <c r="G354" s="84">
        <f t="shared" si="60"/>
        <v>0</v>
      </c>
      <c r="H354" s="84">
        <f t="shared" si="60"/>
        <v>42</v>
      </c>
      <c r="I354" s="84">
        <f t="shared" si="60"/>
        <v>0</v>
      </c>
      <c r="J354" s="84">
        <f t="shared" si="60"/>
        <v>42</v>
      </c>
      <c r="K354" s="84">
        <f t="shared" si="60"/>
        <v>0</v>
      </c>
      <c r="L354" s="84">
        <f t="shared" si="60"/>
        <v>4</v>
      </c>
      <c r="M354" s="84">
        <f t="shared" si="60"/>
        <v>0</v>
      </c>
      <c r="N354" s="84">
        <f t="shared" si="60"/>
        <v>0</v>
      </c>
      <c r="O354" s="84">
        <f t="shared" si="60"/>
        <v>10</v>
      </c>
      <c r="P354" s="84">
        <f t="shared" si="60"/>
        <v>10</v>
      </c>
      <c r="Q354" s="84">
        <f t="shared" si="60"/>
        <v>0</v>
      </c>
      <c r="R354" s="84">
        <f t="shared" si="60"/>
        <v>0</v>
      </c>
      <c r="S354" s="84">
        <f t="shared" si="60"/>
        <v>0</v>
      </c>
      <c r="T354" s="84">
        <f t="shared" si="60"/>
        <v>0</v>
      </c>
      <c r="U354" s="84">
        <f t="shared" si="60"/>
        <v>0</v>
      </c>
      <c r="V354" s="84">
        <f t="shared" si="60"/>
        <v>0</v>
      </c>
      <c r="W354" s="84">
        <f t="shared" si="60"/>
        <v>0</v>
      </c>
      <c r="X354" s="84">
        <f t="shared" si="60"/>
        <v>0</v>
      </c>
      <c r="Y354" s="84">
        <f t="shared" si="60"/>
        <v>0</v>
      </c>
      <c r="Z354" s="84">
        <f t="shared" si="60"/>
        <v>10</v>
      </c>
      <c r="AA354" s="84">
        <f t="shared" si="60"/>
        <v>0.48</v>
      </c>
      <c r="AB354" s="84">
        <f t="shared" si="60"/>
        <v>0</v>
      </c>
      <c r="AC354" s="88">
        <f t="shared" si="60"/>
        <v>0</v>
      </c>
      <c r="AD354" s="84">
        <f t="shared" si="60"/>
        <v>0</v>
      </c>
    </row>
    <row r="355" spans="1:30" ht="65.25" thickBot="1">
      <c r="A355" s="155" t="s">
        <v>53</v>
      </c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7"/>
    </row>
    <row r="356" spans="1:30" ht="65.25" thickBot="1">
      <c r="A356" s="83" t="s">
        <v>32</v>
      </c>
      <c r="B356" s="25" t="s">
        <v>182</v>
      </c>
      <c r="C356" s="84"/>
      <c r="D356" s="86"/>
      <c r="E356" s="86"/>
      <c r="F356" s="86"/>
      <c r="G356" s="86"/>
      <c r="H356" s="86"/>
      <c r="I356" s="86"/>
      <c r="J356" s="86"/>
      <c r="K356" s="86">
        <v>100</v>
      </c>
      <c r="L356" s="86"/>
      <c r="M356" s="86"/>
      <c r="N356" s="87"/>
      <c r="O356" s="84"/>
      <c r="P356" s="87"/>
      <c r="Q356" s="84"/>
      <c r="R356" s="87"/>
      <c r="S356" s="84"/>
      <c r="T356" s="87"/>
      <c r="U356" s="84"/>
      <c r="V356" s="84"/>
      <c r="W356" s="87"/>
      <c r="X356" s="84"/>
      <c r="Y356" s="84"/>
      <c r="Z356" s="87"/>
      <c r="AA356" s="84"/>
      <c r="AB356" s="87"/>
      <c r="AC356" s="88"/>
      <c r="AD356" s="83"/>
    </row>
    <row r="357" spans="1:30" ht="65.25" thickBot="1">
      <c r="A357" s="83"/>
      <c r="B357" s="22" t="s">
        <v>29</v>
      </c>
      <c r="C357" s="86">
        <f>SUM(C356)</f>
        <v>0</v>
      </c>
      <c r="D357" s="86">
        <f>SUM(D356)</f>
        <v>0</v>
      </c>
      <c r="E357" s="86">
        <f aca="true" t="shared" si="61" ref="E357:AC357">SUM(E356)</f>
        <v>0</v>
      </c>
      <c r="F357" s="86">
        <f t="shared" si="61"/>
        <v>0</v>
      </c>
      <c r="G357" s="86">
        <f t="shared" si="61"/>
        <v>0</v>
      </c>
      <c r="H357" s="86">
        <f t="shared" si="61"/>
        <v>0</v>
      </c>
      <c r="I357" s="86">
        <f t="shared" si="61"/>
        <v>0</v>
      </c>
      <c r="J357" s="86">
        <f t="shared" si="61"/>
        <v>0</v>
      </c>
      <c r="K357" s="86">
        <f t="shared" si="61"/>
        <v>100</v>
      </c>
      <c r="L357" s="86">
        <f t="shared" si="61"/>
        <v>0</v>
      </c>
      <c r="M357" s="86">
        <f t="shared" si="61"/>
        <v>0</v>
      </c>
      <c r="N357" s="86">
        <f t="shared" si="61"/>
        <v>0</v>
      </c>
      <c r="O357" s="86">
        <f t="shared" si="61"/>
        <v>0</v>
      </c>
      <c r="P357" s="86">
        <f t="shared" si="61"/>
        <v>0</v>
      </c>
      <c r="Q357" s="86">
        <f t="shared" si="61"/>
        <v>0</v>
      </c>
      <c r="R357" s="86">
        <f t="shared" si="61"/>
        <v>0</v>
      </c>
      <c r="S357" s="86">
        <f t="shared" si="61"/>
        <v>0</v>
      </c>
      <c r="T357" s="86">
        <f t="shared" si="61"/>
        <v>0</v>
      </c>
      <c r="U357" s="86">
        <f t="shared" si="61"/>
        <v>0</v>
      </c>
      <c r="V357" s="86">
        <f t="shared" si="61"/>
        <v>0</v>
      </c>
      <c r="W357" s="86">
        <f t="shared" si="61"/>
        <v>0</v>
      </c>
      <c r="X357" s="86">
        <f t="shared" si="61"/>
        <v>0</v>
      </c>
      <c r="Y357" s="86">
        <f t="shared" si="61"/>
        <v>0</v>
      </c>
      <c r="Z357" s="86">
        <f t="shared" si="61"/>
        <v>0</v>
      </c>
      <c r="AA357" s="86">
        <f t="shared" si="61"/>
        <v>0</v>
      </c>
      <c r="AB357" s="86">
        <f t="shared" si="61"/>
        <v>0</v>
      </c>
      <c r="AC357" s="87">
        <f t="shared" si="61"/>
        <v>0</v>
      </c>
      <c r="AD357" s="83">
        <f>SUM(AD356)</f>
        <v>0</v>
      </c>
    </row>
    <row r="358" spans="1:30" ht="65.25" thickBot="1">
      <c r="A358" s="155" t="s">
        <v>31</v>
      </c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7"/>
    </row>
    <row r="359" spans="1:30" ht="194.25" thickBot="1">
      <c r="A359" s="84">
        <v>38</v>
      </c>
      <c r="B359" s="22" t="s">
        <v>268</v>
      </c>
      <c r="C359" s="84"/>
      <c r="D359" s="86"/>
      <c r="E359" s="86"/>
      <c r="F359" s="86"/>
      <c r="G359" s="86"/>
      <c r="H359" s="86"/>
      <c r="I359" s="86"/>
      <c r="J359" s="86">
        <v>35</v>
      </c>
      <c r="K359" s="86"/>
      <c r="L359" s="86"/>
      <c r="M359" s="86"/>
      <c r="N359" s="87"/>
      <c r="O359" s="83"/>
      <c r="P359" s="87"/>
      <c r="Q359" s="83"/>
      <c r="R359" s="87"/>
      <c r="S359" s="83"/>
      <c r="T359" s="87"/>
      <c r="U359" s="84"/>
      <c r="V359" s="83"/>
      <c r="W359" s="87"/>
      <c r="X359" s="84"/>
      <c r="Y359" s="83"/>
      <c r="Z359" s="87"/>
      <c r="AA359" s="83"/>
      <c r="AB359" s="84"/>
      <c r="AC359" s="88"/>
      <c r="AD359" s="80"/>
    </row>
    <row r="360" spans="1:30" ht="194.25" thickBot="1">
      <c r="A360" s="83">
        <v>5</v>
      </c>
      <c r="B360" s="22" t="s">
        <v>175</v>
      </c>
      <c r="C360" s="84"/>
      <c r="D360" s="86"/>
      <c r="E360" s="86"/>
      <c r="F360" s="86"/>
      <c r="G360" s="86"/>
      <c r="H360" s="86"/>
      <c r="I360" s="86">
        <v>12</v>
      </c>
      <c r="J360" s="86">
        <v>58.2</v>
      </c>
      <c r="K360" s="86"/>
      <c r="L360" s="86"/>
      <c r="M360" s="86"/>
      <c r="N360" s="87"/>
      <c r="O360" s="83">
        <v>1.5</v>
      </c>
      <c r="P360" s="87"/>
      <c r="Q360" s="83">
        <v>2</v>
      </c>
      <c r="R360" s="87"/>
      <c r="S360" s="83"/>
      <c r="T360" s="87"/>
      <c r="U360" s="83"/>
      <c r="V360" s="83">
        <v>10</v>
      </c>
      <c r="W360" s="87"/>
      <c r="X360" s="83"/>
      <c r="Y360" s="84">
        <v>7</v>
      </c>
      <c r="Z360" s="87"/>
      <c r="AA360" s="83"/>
      <c r="AB360" s="83"/>
      <c r="AC360" s="87"/>
      <c r="AD360" s="83"/>
    </row>
    <row r="361" spans="1:30" ht="65.25" thickBot="1">
      <c r="A361" s="83">
        <v>61</v>
      </c>
      <c r="B361" s="22" t="s">
        <v>267</v>
      </c>
      <c r="C361" s="84"/>
      <c r="D361" s="86"/>
      <c r="E361" s="86"/>
      <c r="F361" s="86"/>
      <c r="G361" s="86">
        <v>36</v>
      </c>
      <c r="H361" s="86"/>
      <c r="I361" s="86"/>
      <c r="J361" s="86">
        <v>28</v>
      </c>
      <c r="K361" s="86"/>
      <c r="L361" s="86"/>
      <c r="M361" s="86"/>
      <c r="N361" s="87"/>
      <c r="O361" s="83"/>
      <c r="P361" s="87"/>
      <c r="Q361" s="83">
        <v>5</v>
      </c>
      <c r="R361" s="87"/>
      <c r="S361" s="83"/>
      <c r="T361" s="87"/>
      <c r="U361" s="83"/>
      <c r="V361" s="83">
        <v>65</v>
      </c>
      <c r="W361" s="87"/>
      <c r="X361" s="83"/>
      <c r="Y361" s="83"/>
      <c r="Z361" s="87"/>
      <c r="AA361" s="83"/>
      <c r="AB361" s="83"/>
      <c r="AC361" s="90"/>
      <c r="AD361" s="83"/>
    </row>
    <row r="362" spans="1:30" ht="65.25" thickBot="1">
      <c r="A362" s="83">
        <v>9</v>
      </c>
      <c r="B362" s="25" t="s">
        <v>207</v>
      </c>
      <c r="C362" s="84"/>
      <c r="D362" s="86"/>
      <c r="E362" s="86"/>
      <c r="F362" s="86"/>
      <c r="G362" s="86"/>
      <c r="H362" s="86"/>
      <c r="I362" s="86"/>
      <c r="J362" s="86"/>
      <c r="K362" s="86"/>
      <c r="L362" s="86"/>
      <c r="M362" s="86">
        <v>15</v>
      </c>
      <c r="N362" s="87"/>
      <c r="O362" s="83">
        <v>10</v>
      </c>
      <c r="P362" s="87"/>
      <c r="Q362" s="84"/>
      <c r="R362" s="87"/>
      <c r="S362" s="84"/>
      <c r="T362" s="87"/>
      <c r="U362" s="84"/>
      <c r="V362" s="84"/>
      <c r="W362" s="87"/>
      <c r="X362" s="84"/>
      <c r="Y362" s="84"/>
      <c r="Z362" s="87"/>
      <c r="AA362" s="84"/>
      <c r="AB362" s="87"/>
      <c r="AC362" s="88"/>
      <c r="AD362" s="83"/>
    </row>
    <row r="363" spans="1:30" ht="129.75" thickBot="1">
      <c r="A363" s="83" t="s">
        <v>32</v>
      </c>
      <c r="B363" s="22" t="s">
        <v>56</v>
      </c>
      <c r="C363" s="84">
        <v>20</v>
      </c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7"/>
      <c r="U363" s="83"/>
      <c r="V363" s="86"/>
      <c r="W363" s="87"/>
      <c r="X363" s="83"/>
      <c r="Y363" s="86"/>
      <c r="Z363" s="86"/>
      <c r="AA363" s="86"/>
      <c r="AB363" s="86"/>
      <c r="AC363" s="87"/>
      <c r="AD363" s="83"/>
    </row>
    <row r="364" spans="1:30" ht="129.75" thickBot="1">
      <c r="A364" s="83" t="s">
        <v>32</v>
      </c>
      <c r="B364" s="22" t="s">
        <v>58</v>
      </c>
      <c r="C364" s="84"/>
      <c r="D364" s="86">
        <v>40</v>
      </c>
      <c r="E364" s="85"/>
      <c r="F364" s="85"/>
      <c r="G364" s="85"/>
      <c r="H364" s="86"/>
      <c r="I364" s="86"/>
      <c r="J364" s="86"/>
      <c r="K364" s="86"/>
      <c r="L364" s="86"/>
      <c r="M364" s="86"/>
      <c r="N364" s="87"/>
      <c r="O364" s="84"/>
      <c r="P364" s="87"/>
      <c r="Q364" s="84"/>
      <c r="R364" s="87"/>
      <c r="S364" s="84"/>
      <c r="T364" s="87"/>
      <c r="U364" s="83"/>
      <c r="V364" s="84"/>
      <c r="W364" s="87"/>
      <c r="X364" s="83"/>
      <c r="Y364" s="84"/>
      <c r="Z364" s="84"/>
      <c r="AA364" s="87"/>
      <c r="AB364" s="83"/>
      <c r="AC364" s="88"/>
      <c r="AD364" s="84"/>
    </row>
    <row r="365" spans="1:30" ht="65.25" thickBot="1">
      <c r="A365" s="84"/>
      <c r="B365" s="25" t="s">
        <v>6</v>
      </c>
      <c r="C365" s="84">
        <f aca="true" t="shared" si="62" ref="C365:AD365">SUM(C359:C364)</f>
        <v>20</v>
      </c>
      <c r="D365" s="84">
        <f t="shared" si="62"/>
        <v>40</v>
      </c>
      <c r="E365" s="84">
        <f t="shared" si="62"/>
        <v>0</v>
      </c>
      <c r="F365" s="84">
        <f t="shared" si="62"/>
        <v>0</v>
      </c>
      <c r="G365" s="84">
        <f t="shared" si="62"/>
        <v>36</v>
      </c>
      <c r="H365" s="84">
        <f t="shared" si="62"/>
        <v>0</v>
      </c>
      <c r="I365" s="84">
        <f t="shared" si="62"/>
        <v>12</v>
      </c>
      <c r="J365" s="84">
        <f t="shared" si="62"/>
        <v>121.2</v>
      </c>
      <c r="K365" s="84">
        <f t="shared" si="62"/>
        <v>0</v>
      </c>
      <c r="L365" s="84">
        <f t="shared" si="62"/>
        <v>0</v>
      </c>
      <c r="M365" s="84">
        <f t="shared" si="62"/>
        <v>15</v>
      </c>
      <c r="N365" s="84">
        <f t="shared" si="62"/>
        <v>0</v>
      </c>
      <c r="O365" s="84">
        <f t="shared" si="62"/>
        <v>11.5</v>
      </c>
      <c r="P365" s="84">
        <f t="shared" si="62"/>
        <v>0</v>
      </c>
      <c r="Q365" s="84">
        <f t="shared" si="62"/>
        <v>7</v>
      </c>
      <c r="R365" s="84">
        <f t="shared" si="62"/>
        <v>0</v>
      </c>
      <c r="S365" s="84">
        <f t="shared" si="62"/>
        <v>0</v>
      </c>
      <c r="T365" s="84">
        <f t="shared" si="62"/>
        <v>0</v>
      </c>
      <c r="U365" s="84">
        <f t="shared" si="62"/>
        <v>0</v>
      </c>
      <c r="V365" s="84">
        <f t="shared" si="62"/>
        <v>75</v>
      </c>
      <c r="W365" s="84">
        <f t="shared" si="62"/>
        <v>0</v>
      </c>
      <c r="X365" s="84">
        <f t="shared" si="62"/>
        <v>0</v>
      </c>
      <c r="Y365" s="84">
        <f t="shared" si="62"/>
        <v>7</v>
      </c>
      <c r="Z365" s="84">
        <f t="shared" si="62"/>
        <v>0</v>
      </c>
      <c r="AA365" s="84">
        <f t="shared" si="62"/>
        <v>0</v>
      </c>
      <c r="AB365" s="84">
        <f t="shared" si="62"/>
        <v>0</v>
      </c>
      <c r="AC365" s="88">
        <f t="shared" si="62"/>
        <v>0</v>
      </c>
      <c r="AD365" s="84">
        <f t="shared" si="62"/>
        <v>0</v>
      </c>
    </row>
    <row r="366" spans="1:30" ht="65.25" thickBot="1">
      <c r="A366" s="150" t="s">
        <v>145</v>
      </c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2"/>
    </row>
    <row r="367" spans="1:30" ht="194.25" thickBot="1">
      <c r="A367" s="92">
        <v>21.1</v>
      </c>
      <c r="B367" s="27" t="s">
        <v>172</v>
      </c>
      <c r="C367" s="83"/>
      <c r="D367" s="86"/>
      <c r="E367" s="83"/>
      <c r="F367" s="83"/>
      <c r="G367" s="83"/>
      <c r="H367" s="86"/>
      <c r="I367" s="86"/>
      <c r="J367" s="86"/>
      <c r="K367" s="86"/>
      <c r="L367" s="86"/>
      <c r="M367" s="86"/>
      <c r="N367" s="87"/>
      <c r="O367" s="84"/>
      <c r="P367" s="87"/>
      <c r="Q367" s="84"/>
      <c r="R367" s="87"/>
      <c r="S367" s="84">
        <v>155</v>
      </c>
      <c r="T367" s="87"/>
      <c r="U367" s="84"/>
      <c r="V367" s="84"/>
      <c r="W367" s="87"/>
      <c r="X367" s="84"/>
      <c r="Y367" s="84"/>
      <c r="Z367" s="87"/>
      <c r="AA367" s="84"/>
      <c r="AB367" s="84"/>
      <c r="AC367" s="88"/>
      <c r="AD367" s="83"/>
    </row>
    <row r="368" spans="1:30" ht="65.25" thickBot="1">
      <c r="A368" s="83">
        <v>48</v>
      </c>
      <c r="B368" s="22" t="s">
        <v>217</v>
      </c>
      <c r="C368" s="86"/>
      <c r="D368" s="86"/>
      <c r="E368" s="86">
        <v>39</v>
      </c>
      <c r="F368" s="86"/>
      <c r="G368" s="86"/>
      <c r="H368" s="86"/>
      <c r="I368" s="86"/>
      <c r="J368" s="86"/>
      <c r="K368" s="86"/>
      <c r="L368" s="86"/>
      <c r="M368" s="86"/>
      <c r="N368" s="83"/>
      <c r="O368" s="87">
        <v>10</v>
      </c>
      <c r="P368" s="84">
        <v>7.7</v>
      </c>
      <c r="Q368" s="87">
        <v>0.9</v>
      </c>
      <c r="R368" s="83">
        <v>4</v>
      </c>
      <c r="S368" s="87">
        <v>19</v>
      </c>
      <c r="T368" s="90"/>
      <c r="U368" s="83"/>
      <c r="V368" s="84"/>
      <c r="W368" s="87"/>
      <c r="X368" s="83"/>
      <c r="Y368" s="87"/>
      <c r="Z368" s="83"/>
      <c r="AA368" s="87"/>
      <c r="AB368" s="83"/>
      <c r="AC368" s="87"/>
      <c r="AD368" s="84">
        <v>1</v>
      </c>
    </row>
    <row r="369" spans="1:30" ht="65.25" thickBot="1">
      <c r="A369" s="84"/>
      <c r="B369" s="25" t="s">
        <v>29</v>
      </c>
      <c r="C369" s="84">
        <f>C367+C368</f>
        <v>0</v>
      </c>
      <c r="D369" s="84">
        <f aca="true" t="shared" si="63" ref="D369:AD369">D367+D368</f>
        <v>0</v>
      </c>
      <c r="E369" s="84">
        <f t="shared" si="63"/>
        <v>39</v>
      </c>
      <c r="F369" s="84">
        <f t="shared" si="63"/>
        <v>0</v>
      </c>
      <c r="G369" s="84">
        <f t="shared" si="63"/>
        <v>0</v>
      </c>
      <c r="H369" s="84">
        <f t="shared" si="63"/>
        <v>0</v>
      </c>
      <c r="I369" s="84">
        <f t="shared" si="63"/>
        <v>0</v>
      </c>
      <c r="J369" s="84">
        <f t="shared" si="63"/>
        <v>0</v>
      </c>
      <c r="K369" s="84">
        <f t="shared" si="63"/>
        <v>0</v>
      </c>
      <c r="L369" s="84">
        <f t="shared" si="63"/>
        <v>0</v>
      </c>
      <c r="M369" s="84">
        <f t="shared" si="63"/>
        <v>0</v>
      </c>
      <c r="N369" s="84">
        <f t="shared" si="63"/>
        <v>0</v>
      </c>
      <c r="O369" s="84">
        <f t="shared" si="63"/>
        <v>10</v>
      </c>
      <c r="P369" s="84">
        <f t="shared" si="63"/>
        <v>7.7</v>
      </c>
      <c r="Q369" s="84">
        <f t="shared" si="63"/>
        <v>0.9</v>
      </c>
      <c r="R369" s="84">
        <f t="shared" si="63"/>
        <v>4</v>
      </c>
      <c r="S369" s="84">
        <f t="shared" si="63"/>
        <v>174</v>
      </c>
      <c r="T369" s="84">
        <f t="shared" si="63"/>
        <v>0</v>
      </c>
      <c r="U369" s="84">
        <f t="shared" si="63"/>
        <v>0</v>
      </c>
      <c r="V369" s="84">
        <f t="shared" si="63"/>
        <v>0</v>
      </c>
      <c r="W369" s="84">
        <f t="shared" si="63"/>
        <v>0</v>
      </c>
      <c r="X369" s="84">
        <f t="shared" si="63"/>
        <v>0</v>
      </c>
      <c r="Y369" s="84">
        <f t="shared" si="63"/>
        <v>0</v>
      </c>
      <c r="Z369" s="84">
        <f t="shared" si="63"/>
        <v>0</v>
      </c>
      <c r="AA369" s="84">
        <f t="shared" si="63"/>
        <v>0</v>
      </c>
      <c r="AB369" s="84">
        <f t="shared" si="63"/>
        <v>0</v>
      </c>
      <c r="AC369" s="84">
        <f t="shared" si="63"/>
        <v>0</v>
      </c>
      <c r="AD369" s="84">
        <f t="shared" si="63"/>
        <v>1</v>
      </c>
    </row>
    <row r="370" spans="1:30" ht="65.25" thickBot="1">
      <c r="A370" s="155" t="s">
        <v>144</v>
      </c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7"/>
    </row>
    <row r="371" spans="1:30" ht="65.25" thickBot="1">
      <c r="A371" s="83">
        <v>27</v>
      </c>
      <c r="B371" s="22" t="s">
        <v>73</v>
      </c>
      <c r="C371" s="84"/>
      <c r="D371" s="86"/>
      <c r="E371" s="86"/>
      <c r="F371" s="86"/>
      <c r="G371" s="86"/>
      <c r="H371" s="86"/>
      <c r="I371" s="86">
        <v>115</v>
      </c>
      <c r="J371" s="86">
        <v>101</v>
      </c>
      <c r="K371" s="86"/>
      <c r="L371" s="86"/>
      <c r="M371" s="86"/>
      <c r="N371" s="83"/>
      <c r="O371" s="87"/>
      <c r="P371" s="83">
        <v>3</v>
      </c>
      <c r="Q371" s="87">
        <v>3</v>
      </c>
      <c r="R371" s="83"/>
      <c r="S371" s="87"/>
      <c r="T371" s="90"/>
      <c r="U371" s="83"/>
      <c r="V371" s="83"/>
      <c r="W371" s="87"/>
      <c r="X371" s="83"/>
      <c r="Y371" s="87"/>
      <c r="Z371" s="83"/>
      <c r="AA371" s="83"/>
      <c r="AB371" s="87"/>
      <c r="AC371" s="90"/>
      <c r="AD371" s="83"/>
    </row>
    <row r="372" spans="1:30" ht="65.25" thickBot="1">
      <c r="A372" s="84">
        <v>15</v>
      </c>
      <c r="B372" s="23" t="s">
        <v>224</v>
      </c>
      <c r="C372" s="84"/>
      <c r="D372" s="85"/>
      <c r="E372" s="85"/>
      <c r="F372" s="85"/>
      <c r="G372" s="85"/>
      <c r="H372" s="86"/>
      <c r="I372" s="86"/>
      <c r="J372" s="86"/>
      <c r="K372" s="86"/>
      <c r="L372" s="86"/>
      <c r="M372" s="86"/>
      <c r="N372" s="87"/>
      <c r="O372" s="84">
        <v>8</v>
      </c>
      <c r="P372" s="87"/>
      <c r="Q372" s="84"/>
      <c r="R372" s="87"/>
      <c r="S372" s="84">
        <v>90</v>
      </c>
      <c r="T372" s="84"/>
      <c r="U372" s="87"/>
      <c r="V372" s="84"/>
      <c r="W372" s="87"/>
      <c r="X372" s="84"/>
      <c r="Y372" s="84"/>
      <c r="Z372" s="87"/>
      <c r="AA372" s="84"/>
      <c r="AB372" s="84"/>
      <c r="AC372" s="90">
        <v>1.1</v>
      </c>
      <c r="AD372" s="83"/>
    </row>
    <row r="373" spans="1:30" ht="129.75" thickBot="1">
      <c r="A373" s="83">
        <v>69</v>
      </c>
      <c r="B373" s="22" t="s">
        <v>106</v>
      </c>
      <c r="C373" s="84"/>
      <c r="D373" s="86"/>
      <c r="E373" s="86"/>
      <c r="F373" s="86"/>
      <c r="G373" s="86"/>
      <c r="H373" s="86"/>
      <c r="I373" s="86"/>
      <c r="J373" s="86"/>
      <c r="K373" s="86"/>
      <c r="L373" s="86">
        <v>85</v>
      </c>
      <c r="M373" s="8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7"/>
      <c r="AD373" s="84"/>
    </row>
    <row r="374" spans="1:30" ht="129.75" thickBot="1">
      <c r="A374" s="83" t="s">
        <v>32</v>
      </c>
      <c r="B374" s="22" t="s">
        <v>56</v>
      </c>
      <c r="C374" s="86">
        <v>15</v>
      </c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7"/>
      <c r="U374" s="83"/>
      <c r="V374" s="86"/>
      <c r="W374" s="87"/>
      <c r="X374" s="83"/>
      <c r="Y374" s="86"/>
      <c r="Z374" s="86"/>
      <c r="AA374" s="86"/>
      <c r="AB374" s="86"/>
      <c r="AC374" s="87"/>
      <c r="AD374" s="83"/>
    </row>
    <row r="375" spans="1:30" ht="65.25" thickBot="1">
      <c r="A375" s="80"/>
      <c r="B375" s="22" t="s">
        <v>6</v>
      </c>
      <c r="C375" s="84">
        <f aca="true" t="shared" si="64" ref="C375:AD375">SUM(C371:C374)</f>
        <v>15</v>
      </c>
      <c r="D375" s="84">
        <f t="shared" si="64"/>
        <v>0</v>
      </c>
      <c r="E375" s="84">
        <f t="shared" si="64"/>
        <v>0</v>
      </c>
      <c r="F375" s="84">
        <f t="shared" si="64"/>
        <v>0</v>
      </c>
      <c r="G375" s="84">
        <f t="shared" si="64"/>
        <v>0</v>
      </c>
      <c r="H375" s="84">
        <f t="shared" si="64"/>
        <v>0</v>
      </c>
      <c r="I375" s="84">
        <f t="shared" si="64"/>
        <v>115</v>
      </c>
      <c r="J375" s="84">
        <f t="shared" si="64"/>
        <v>101</v>
      </c>
      <c r="K375" s="84">
        <f t="shared" si="64"/>
        <v>0</v>
      </c>
      <c r="L375" s="84">
        <f t="shared" si="64"/>
        <v>85</v>
      </c>
      <c r="M375" s="84">
        <f t="shared" si="64"/>
        <v>0</v>
      </c>
      <c r="N375" s="84">
        <f t="shared" si="64"/>
        <v>0</v>
      </c>
      <c r="O375" s="84">
        <f t="shared" si="64"/>
        <v>8</v>
      </c>
      <c r="P375" s="84">
        <f t="shared" si="64"/>
        <v>3</v>
      </c>
      <c r="Q375" s="84">
        <f t="shared" si="64"/>
        <v>3</v>
      </c>
      <c r="R375" s="84">
        <f t="shared" si="64"/>
        <v>0</v>
      </c>
      <c r="S375" s="84">
        <f t="shared" si="64"/>
        <v>90</v>
      </c>
      <c r="T375" s="84">
        <f t="shared" si="64"/>
        <v>0</v>
      </c>
      <c r="U375" s="84">
        <f t="shared" si="64"/>
        <v>0</v>
      </c>
      <c r="V375" s="84">
        <f t="shared" si="64"/>
        <v>0</v>
      </c>
      <c r="W375" s="84">
        <f t="shared" si="64"/>
        <v>0</v>
      </c>
      <c r="X375" s="84">
        <f t="shared" si="64"/>
        <v>0</v>
      </c>
      <c r="Y375" s="84">
        <f t="shared" si="64"/>
        <v>0</v>
      </c>
      <c r="Z375" s="84">
        <f t="shared" si="64"/>
        <v>0</v>
      </c>
      <c r="AA375" s="84">
        <f t="shared" si="64"/>
        <v>0</v>
      </c>
      <c r="AB375" s="84">
        <f t="shared" si="64"/>
        <v>0</v>
      </c>
      <c r="AC375" s="88">
        <f t="shared" si="64"/>
        <v>1.1</v>
      </c>
      <c r="AD375" s="84">
        <f t="shared" si="64"/>
        <v>0</v>
      </c>
    </row>
    <row r="376" spans="1:30" ht="194.25" thickBot="1">
      <c r="A376" s="145"/>
      <c r="B376" s="22" t="s">
        <v>148</v>
      </c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8"/>
      <c r="AD376" s="84"/>
    </row>
    <row r="377" spans="1:30" ht="65.25" thickBot="1">
      <c r="A377" s="83"/>
      <c r="B377" s="93" t="s">
        <v>10</v>
      </c>
      <c r="C377" s="84">
        <f aca="true" t="shared" si="65" ref="C377:AD377">C354+C357+C365+C369+C375</f>
        <v>65</v>
      </c>
      <c r="D377" s="84">
        <f t="shared" si="65"/>
        <v>40</v>
      </c>
      <c r="E377" s="84">
        <f t="shared" si="65"/>
        <v>39</v>
      </c>
      <c r="F377" s="84">
        <f t="shared" si="65"/>
        <v>0</v>
      </c>
      <c r="G377" s="84">
        <f t="shared" si="65"/>
        <v>36</v>
      </c>
      <c r="H377" s="84">
        <f t="shared" si="65"/>
        <v>42</v>
      </c>
      <c r="I377" s="84">
        <f t="shared" si="65"/>
        <v>127</v>
      </c>
      <c r="J377" s="84">
        <f t="shared" si="65"/>
        <v>264.2</v>
      </c>
      <c r="K377" s="84">
        <f t="shared" si="65"/>
        <v>100</v>
      </c>
      <c r="L377" s="84">
        <f t="shared" si="65"/>
        <v>89</v>
      </c>
      <c r="M377" s="84">
        <f t="shared" si="65"/>
        <v>15</v>
      </c>
      <c r="N377" s="84">
        <f t="shared" si="65"/>
        <v>0</v>
      </c>
      <c r="O377" s="84">
        <f t="shared" si="65"/>
        <v>39.5</v>
      </c>
      <c r="P377" s="84">
        <f t="shared" si="65"/>
        <v>20.7</v>
      </c>
      <c r="Q377" s="84">
        <f t="shared" si="65"/>
        <v>10.9</v>
      </c>
      <c r="R377" s="84">
        <f t="shared" si="65"/>
        <v>4</v>
      </c>
      <c r="S377" s="84">
        <f t="shared" si="65"/>
        <v>264</v>
      </c>
      <c r="T377" s="84">
        <f t="shared" si="65"/>
        <v>0</v>
      </c>
      <c r="U377" s="84">
        <f t="shared" si="65"/>
        <v>0</v>
      </c>
      <c r="V377" s="84">
        <f t="shared" si="65"/>
        <v>75</v>
      </c>
      <c r="W377" s="84">
        <f t="shared" si="65"/>
        <v>0</v>
      </c>
      <c r="X377" s="84">
        <f t="shared" si="65"/>
        <v>0</v>
      </c>
      <c r="Y377" s="84">
        <f t="shared" si="65"/>
        <v>7</v>
      </c>
      <c r="Z377" s="84">
        <f t="shared" si="65"/>
        <v>10</v>
      </c>
      <c r="AA377" s="84">
        <f t="shared" si="65"/>
        <v>0.48</v>
      </c>
      <c r="AB377" s="84">
        <f t="shared" si="65"/>
        <v>0</v>
      </c>
      <c r="AC377" s="88">
        <f t="shared" si="65"/>
        <v>1.1</v>
      </c>
      <c r="AD377" s="84">
        <f t="shared" si="65"/>
        <v>1</v>
      </c>
    </row>
    <row r="378" spans="1:30" ht="65.25" thickBot="1">
      <c r="A378" s="150" t="s">
        <v>62</v>
      </c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2"/>
    </row>
    <row r="379" spans="1:30" ht="65.25" thickBot="1">
      <c r="A379" s="150" t="s">
        <v>87</v>
      </c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2"/>
    </row>
    <row r="380" spans="1:30" ht="46.5" customHeight="1">
      <c r="A380" s="166" t="s">
        <v>30</v>
      </c>
      <c r="B380" s="168" t="s">
        <v>23</v>
      </c>
      <c r="C380" s="153" t="s">
        <v>116</v>
      </c>
      <c r="D380" s="153" t="s">
        <v>117</v>
      </c>
      <c r="E380" s="153" t="s">
        <v>118</v>
      </c>
      <c r="F380" s="153" t="s">
        <v>119</v>
      </c>
      <c r="G380" s="153" t="s">
        <v>120</v>
      </c>
      <c r="H380" s="153" t="s">
        <v>121</v>
      </c>
      <c r="I380" s="153" t="s">
        <v>110</v>
      </c>
      <c r="J380" s="153" t="s">
        <v>257</v>
      </c>
      <c r="K380" s="140"/>
      <c r="L380" s="153" t="s">
        <v>142</v>
      </c>
      <c r="M380" s="153" t="s">
        <v>79</v>
      </c>
      <c r="N380" s="153" t="s">
        <v>123</v>
      </c>
      <c r="O380" s="153" t="s">
        <v>80</v>
      </c>
      <c r="P380" s="153" t="s">
        <v>124</v>
      </c>
      <c r="Q380" s="153" t="s">
        <v>81</v>
      </c>
      <c r="R380" s="153" t="s">
        <v>125</v>
      </c>
      <c r="S380" s="153" t="s">
        <v>126</v>
      </c>
      <c r="T380" s="153" t="s">
        <v>127</v>
      </c>
      <c r="U380" s="140"/>
      <c r="V380" s="153" t="s">
        <v>113</v>
      </c>
      <c r="W380" s="153" t="s">
        <v>129</v>
      </c>
      <c r="X380" s="153" t="s">
        <v>84</v>
      </c>
      <c r="Y380" s="153" t="s">
        <v>82</v>
      </c>
      <c r="Z380" s="153" t="s">
        <v>83</v>
      </c>
      <c r="AA380" s="153" t="s">
        <v>85</v>
      </c>
      <c r="AB380" s="140"/>
      <c r="AC380" s="158" t="s">
        <v>78</v>
      </c>
      <c r="AD380" s="153" t="s">
        <v>138</v>
      </c>
    </row>
    <row r="381" spans="1:30" ht="406.5" customHeight="1" thickBot="1">
      <c r="A381" s="167"/>
      <c r="B381" s="169"/>
      <c r="C381" s="154"/>
      <c r="D381" s="154"/>
      <c r="E381" s="154"/>
      <c r="F381" s="154"/>
      <c r="G381" s="154"/>
      <c r="H381" s="154"/>
      <c r="I381" s="154"/>
      <c r="J381" s="154"/>
      <c r="K381" s="141" t="s">
        <v>122</v>
      </c>
      <c r="L381" s="154"/>
      <c r="M381" s="154"/>
      <c r="N381" s="154"/>
      <c r="O381" s="154"/>
      <c r="P381" s="154"/>
      <c r="Q381" s="154"/>
      <c r="R381" s="154"/>
      <c r="S381" s="154"/>
      <c r="T381" s="154"/>
      <c r="U381" s="141" t="s">
        <v>128</v>
      </c>
      <c r="V381" s="154"/>
      <c r="W381" s="154"/>
      <c r="X381" s="154"/>
      <c r="Y381" s="154"/>
      <c r="Z381" s="154"/>
      <c r="AA381" s="154"/>
      <c r="AB381" s="141" t="s">
        <v>77</v>
      </c>
      <c r="AC381" s="159"/>
      <c r="AD381" s="154"/>
    </row>
    <row r="382" spans="1:30" ht="65.25" thickBot="1">
      <c r="A382" s="145">
        <v>1</v>
      </c>
      <c r="B382" s="79">
        <v>2</v>
      </c>
      <c r="C382" s="80" t="s">
        <v>54</v>
      </c>
      <c r="D382" s="81">
        <v>4</v>
      </c>
      <c r="E382" s="80">
        <v>5</v>
      </c>
      <c r="F382" s="80">
        <v>6</v>
      </c>
      <c r="G382" s="80">
        <v>7</v>
      </c>
      <c r="H382" s="80">
        <v>8</v>
      </c>
      <c r="I382" s="80" t="s">
        <v>55</v>
      </c>
      <c r="J382" s="81">
        <v>10</v>
      </c>
      <c r="K382" s="80">
        <v>11</v>
      </c>
      <c r="L382" s="80">
        <v>12</v>
      </c>
      <c r="M382" s="80">
        <v>13</v>
      </c>
      <c r="N382" s="80">
        <v>14</v>
      </c>
      <c r="O382" s="80">
        <v>15</v>
      </c>
      <c r="P382" s="143">
        <v>16</v>
      </c>
      <c r="Q382" s="80">
        <v>17</v>
      </c>
      <c r="R382" s="143">
        <v>18</v>
      </c>
      <c r="S382" s="80">
        <v>19</v>
      </c>
      <c r="T382" s="143">
        <v>20</v>
      </c>
      <c r="U382" s="143">
        <v>21</v>
      </c>
      <c r="V382" s="80">
        <v>22</v>
      </c>
      <c r="W382" s="80">
        <v>23</v>
      </c>
      <c r="X382" s="143">
        <v>24</v>
      </c>
      <c r="Y382" s="80">
        <v>25</v>
      </c>
      <c r="Z382" s="80">
        <v>26</v>
      </c>
      <c r="AA382" s="80">
        <v>27</v>
      </c>
      <c r="AB382" s="143">
        <v>28</v>
      </c>
      <c r="AC382" s="142">
        <v>29</v>
      </c>
      <c r="AD382" s="80">
        <v>31</v>
      </c>
    </row>
    <row r="383" spans="1:30" ht="65.25" thickBot="1">
      <c r="A383" s="150" t="s">
        <v>5</v>
      </c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2"/>
    </row>
    <row r="384" spans="1:30" ht="129.75" thickBot="1">
      <c r="A384" s="84">
        <v>23</v>
      </c>
      <c r="B384" s="25" t="s">
        <v>162</v>
      </c>
      <c r="C384" s="84"/>
      <c r="D384" s="85"/>
      <c r="E384" s="85"/>
      <c r="F384" s="85"/>
      <c r="G384" s="85">
        <v>19</v>
      </c>
      <c r="H384" s="86"/>
      <c r="I384" s="86"/>
      <c r="J384" s="86"/>
      <c r="K384" s="86"/>
      <c r="L384" s="86"/>
      <c r="M384" s="86"/>
      <c r="N384" s="87"/>
      <c r="O384" s="84">
        <v>4</v>
      </c>
      <c r="P384" s="87">
        <v>2</v>
      </c>
      <c r="Q384" s="84"/>
      <c r="R384" s="87"/>
      <c r="S384" s="84">
        <v>113</v>
      </c>
      <c r="T384" s="87"/>
      <c r="U384" s="84"/>
      <c r="V384" s="84"/>
      <c r="W384" s="84"/>
      <c r="X384" s="87"/>
      <c r="Y384" s="84"/>
      <c r="Z384" s="84"/>
      <c r="AA384" s="84"/>
      <c r="AB384" s="87"/>
      <c r="AC384" s="88"/>
      <c r="AD384" s="84"/>
    </row>
    <row r="385" spans="1:30" ht="129.75" thickBot="1">
      <c r="A385" s="83">
        <v>2</v>
      </c>
      <c r="B385" s="22" t="s">
        <v>69</v>
      </c>
      <c r="C385" s="84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3"/>
      <c r="O385" s="84">
        <v>8</v>
      </c>
      <c r="P385" s="83"/>
      <c r="Q385" s="87"/>
      <c r="R385" s="83"/>
      <c r="S385" s="84">
        <v>90</v>
      </c>
      <c r="T385" s="83"/>
      <c r="U385" s="87"/>
      <c r="V385" s="83"/>
      <c r="W385" s="87"/>
      <c r="X385" s="83"/>
      <c r="Y385" s="87"/>
      <c r="Z385" s="83"/>
      <c r="AA385" s="87"/>
      <c r="AB385" s="83">
        <v>2</v>
      </c>
      <c r="AC385" s="90"/>
      <c r="AD385" s="84"/>
    </row>
    <row r="386" spans="1:30" ht="129.75" thickBot="1">
      <c r="A386" s="83">
        <v>3</v>
      </c>
      <c r="B386" s="22" t="s">
        <v>38</v>
      </c>
      <c r="C386" s="86">
        <v>20</v>
      </c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3"/>
      <c r="O386" s="87"/>
      <c r="P386" s="84">
        <v>5</v>
      </c>
      <c r="Q386" s="87"/>
      <c r="R386" s="83"/>
      <c r="S386" s="87"/>
      <c r="T386" s="90"/>
      <c r="U386" s="83"/>
      <c r="V386" s="84"/>
      <c r="W386" s="87"/>
      <c r="X386" s="83"/>
      <c r="Y386" s="87"/>
      <c r="Z386" s="83">
        <v>9</v>
      </c>
      <c r="AA386" s="87"/>
      <c r="AB386" s="83"/>
      <c r="AC386" s="87"/>
      <c r="AD386" s="83"/>
    </row>
    <row r="387" spans="1:30" ht="65.25" thickBot="1">
      <c r="A387" s="83"/>
      <c r="B387" s="22" t="s">
        <v>6</v>
      </c>
      <c r="C387" s="84">
        <f>SUM(C384:C386)</f>
        <v>20</v>
      </c>
      <c r="D387" s="84">
        <f aca="true" t="shared" si="66" ref="D387:AD387">SUM(D384:D386)</f>
        <v>0</v>
      </c>
      <c r="E387" s="84">
        <f t="shared" si="66"/>
        <v>0</v>
      </c>
      <c r="F387" s="84">
        <f t="shared" si="66"/>
        <v>0</v>
      </c>
      <c r="G387" s="84">
        <f t="shared" si="66"/>
        <v>19</v>
      </c>
      <c r="H387" s="84">
        <f t="shared" si="66"/>
        <v>0</v>
      </c>
      <c r="I387" s="84">
        <f t="shared" si="66"/>
        <v>0</v>
      </c>
      <c r="J387" s="84">
        <f t="shared" si="66"/>
        <v>0</v>
      </c>
      <c r="K387" s="84">
        <f t="shared" si="66"/>
        <v>0</v>
      </c>
      <c r="L387" s="84">
        <f t="shared" si="66"/>
        <v>0</v>
      </c>
      <c r="M387" s="84">
        <f t="shared" si="66"/>
        <v>0</v>
      </c>
      <c r="N387" s="84">
        <f t="shared" si="66"/>
        <v>0</v>
      </c>
      <c r="O387" s="84">
        <f t="shared" si="66"/>
        <v>12</v>
      </c>
      <c r="P387" s="84">
        <f t="shared" si="66"/>
        <v>7</v>
      </c>
      <c r="Q387" s="84">
        <f t="shared" si="66"/>
        <v>0</v>
      </c>
      <c r="R387" s="84">
        <f t="shared" si="66"/>
        <v>0</v>
      </c>
      <c r="S387" s="84">
        <f t="shared" si="66"/>
        <v>203</v>
      </c>
      <c r="T387" s="84">
        <f t="shared" si="66"/>
        <v>0</v>
      </c>
      <c r="U387" s="84">
        <f t="shared" si="66"/>
        <v>0</v>
      </c>
      <c r="V387" s="84">
        <f t="shared" si="66"/>
        <v>0</v>
      </c>
      <c r="W387" s="84">
        <f t="shared" si="66"/>
        <v>0</v>
      </c>
      <c r="X387" s="84">
        <f t="shared" si="66"/>
        <v>0</v>
      </c>
      <c r="Y387" s="84">
        <f t="shared" si="66"/>
        <v>0</v>
      </c>
      <c r="Z387" s="84">
        <f t="shared" si="66"/>
        <v>9</v>
      </c>
      <c r="AA387" s="84">
        <f t="shared" si="66"/>
        <v>0</v>
      </c>
      <c r="AB387" s="84">
        <f t="shared" si="66"/>
        <v>2</v>
      </c>
      <c r="AC387" s="88">
        <f t="shared" si="66"/>
        <v>0</v>
      </c>
      <c r="AD387" s="84">
        <f t="shared" si="66"/>
        <v>0</v>
      </c>
    </row>
    <row r="388" spans="1:30" ht="65.25" thickBot="1">
      <c r="A388" s="155" t="s">
        <v>53</v>
      </c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7"/>
    </row>
    <row r="389" spans="1:30" ht="65.25" thickBot="1">
      <c r="A389" s="83" t="s">
        <v>32</v>
      </c>
      <c r="B389" s="25" t="s">
        <v>182</v>
      </c>
      <c r="C389" s="84"/>
      <c r="D389" s="86"/>
      <c r="E389" s="86"/>
      <c r="F389" s="86"/>
      <c r="G389" s="86"/>
      <c r="H389" s="86"/>
      <c r="I389" s="86"/>
      <c r="J389" s="86"/>
      <c r="K389" s="86">
        <v>100</v>
      </c>
      <c r="L389" s="86"/>
      <c r="M389" s="86"/>
      <c r="N389" s="87"/>
      <c r="O389" s="84"/>
      <c r="P389" s="87"/>
      <c r="Q389" s="84"/>
      <c r="R389" s="87"/>
      <c r="S389" s="84"/>
      <c r="T389" s="87"/>
      <c r="U389" s="84"/>
      <c r="V389" s="84"/>
      <c r="W389" s="87"/>
      <c r="X389" s="84"/>
      <c r="Y389" s="84"/>
      <c r="Z389" s="87"/>
      <c r="AA389" s="84"/>
      <c r="AB389" s="87"/>
      <c r="AC389" s="88"/>
      <c r="AD389" s="83"/>
    </row>
    <row r="390" spans="1:30" ht="65.25" thickBot="1">
      <c r="A390" s="83"/>
      <c r="B390" s="22" t="s">
        <v>29</v>
      </c>
      <c r="C390" s="86">
        <f>SUM(C389)</f>
        <v>0</v>
      </c>
      <c r="D390" s="86">
        <f>SUM(D389)</f>
        <v>0</v>
      </c>
      <c r="E390" s="86">
        <f aca="true" t="shared" si="67" ref="E390:AC390">SUM(E389)</f>
        <v>0</v>
      </c>
      <c r="F390" s="86">
        <f t="shared" si="67"/>
        <v>0</v>
      </c>
      <c r="G390" s="86">
        <f t="shared" si="67"/>
        <v>0</v>
      </c>
      <c r="H390" s="86">
        <f t="shared" si="67"/>
        <v>0</v>
      </c>
      <c r="I390" s="86">
        <f t="shared" si="67"/>
        <v>0</v>
      </c>
      <c r="J390" s="86">
        <f t="shared" si="67"/>
        <v>0</v>
      </c>
      <c r="K390" s="86">
        <f t="shared" si="67"/>
        <v>100</v>
      </c>
      <c r="L390" s="86">
        <f t="shared" si="67"/>
        <v>0</v>
      </c>
      <c r="M390" s="86">
        <f t="shared" si="67"/>
        <v>0</v>
      </c>
      <c r="N390" s="86">
        <f t="shared" si="67"/>
        <v>0</v>
      </c>
      <c r="O390" s="86">
        <f t="shared" si="67"/>
        <v>0</v>
      </c>
      <c r="P390" s="86">
        <f t="shared" si="67"/>
        <v>0</v>
      </c>
      <c r="Q390" s="86">
        <f t="shared" si="67"/>
        <v>0</v>
      </c>
      <c r="R390" s="86">
        <f t="shared" si="67"/>
        <v>0</v>
      </c>
      <c r="S390" s="86">
        <f t="shared" si="67"/>
        <v>0</v>
      </c>
      <c r="T390" s="86">
        <f t="shared" si="67"/>
        <v>0</v>
      </c>
      <c r="U390" s="86">
        <f t="shared" si="67"/>
        <v>0</v>
      </c>
      <c r="V390" s="86">
        <f t="shared" si="67"/>
        <v>0</v>
      </c>
      <c r="W390" s="86">
        <f t="shared" si="67"/>
        <v>0</v>
      </c>
      <c r="X390" s="86">
        <f t="shared" si="67"/>
        <v>0</v>
      </c>
      <c r="Y390" s="86">
        <f t="shared" si="67"/>
        <v>0</v>
      </c>
      <c r="Z390" s="86">
        <f t="shared" si="67"/>
        <v>0</v>
      </c>
      <c r="AA390" s="86">
        <f t="shared" si="67"/>
        <v>0</v>
      </c>
      <c r="AB390" s="86">
        <f t="shared" si="67"/>
        <v>0</v>
      </c>
      <c r="AC390" s="87">
        <f t="shared" si="67"/>
        <v>0</v>
      </c>
      <c r="AD390" s="83">
        <f>SUM(AD389)</f>
        <v>0</v>
      </c>
    </row>
    <row r="391" spans="1:30" ht="65.25" thickBot="1">
      <c r="A391" s="150" t="s">
        <v>31</v>
      </c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2"/>
    </row>
    <row r="392" spans="1:30" ht="129.75" thickBot="1">
      <c r="A392" s="84">
        <v>82</v>
      </c>
      <c r="B392" s="22" t="s">
        <v>229</v>
      </c>
      <c r="C392" s="84"/>
      <c r="D392" s="86"/>
      <c r="E392" s="86"/>
      <c r="F392" s="86"/>
      <c r="G392" s="86"/>
      <c r="H392" s="86"/>
      <c r="I392" s="86"/>
      <c r="J392" s="86">
        <v>40</v>
      </c>
      <c r="K392" s="86"/>
      <c r="L392" s="86"/>
      <c r="M392" s="86"/>
      <c r="N392" s="87"/>
      <c r="O392" s="83"/>
      <c r="P392" s="87"/>
      <c r="Q392" s="83"/>
      <c r="R392" s="87"/>
      <c r="S392" s="83"/>
      <c r="T392" s="87"/>
      <c r="U392" s="84"/>
      <c r="V392" s="83"/>
      <c r="W392" s="87"/>
      <c r="X392" s="84"/>
      <c r="Y392" s="83"/>
      <c r="Z392" s="87"/>
      <c r="AA392" s="83"/>
      <c r="AB392" s="84"/>
      <c r="AC392" s="87"/>
      <c r="AD392" s="83"/>
    </row>
    <row r="393" spans="1:30" ht="129.75" thickBot="1">
      <c r="A393" s="83">
        <v>18</v>
      </c>
      <c r="B393" s="22" t="s">
        <v>216</v>
      </c>
      <c r="C393" s="84"/>
      <c r="D393" s="86"/>
      <c r="E393" s="86"/>
      <c r="F393" s="86"/>
      <c r="G393" s="86">
        <v>3</v>
      </c>
      <c r="H393" s="86"/>
      <c r="I393" s="86">
        <v>50</v>
      </c>
      <c r="J393" s="86">
        <v>15.2</v>
      </c>
      <c r="K393" s="86"/>
      <c r="L393" s="86"/>
      <c r="M393" s="86"/>
      <c r="N393" s="87"/>
      <c r="O393" s="83"/>
      <c r="P393" s="87">
        <v>2</v>
      </c>
      <c r="Q393" s="83"/>
      <c r="R393" s="87"/>
      <c r="S393" s="83"/>
      <c r="T393" s="87"/>
      <c r="U393" s="83"/>
      <c r="V393" s="83">
        <v>10</v>
      </c>
      <c r="W393" s="86"/>
      <c r="X393" s="83"/>
      <c r="Y393" s="83"/>
      <c r="Z393" s="87"/>
      <c r="AA393" s="83"/>
      <c r="AB393" s="83"/>
      <c r="AC393" s="87"/>
      <c r="AD393" s="83"/>
    </row>
    <row r="394" spans="1:30" ht="129.75" thickBot="1">
      <c r="A394" s="94">
        <v>64</v>
      </c>
      <c r="B394" s="75" t="s">
        <v>179</v>
      </c>
      <c r="C394" s="95"/>
      <c r="D394" s="96"/>
      <c r="E394" s="96">
        <v>4</v>
      </c>
      <c r="F394" s="96"/>
      <c r="G394" s="96">
        <v>5</v>
      </c>
      <c r="H394" s="96"/>
      <c r="I394" s="96"/>
      <c r="J394" s="96">
        <v>16</v>
      </c>
      <c r="K394" s="96"/>
      <c r="L394" s="96"/>
      <c r="M394" s="96"/>
      <c r="N394" s="97"/>
      <c r="O394" s="94"/>
      <c r="P394" s="97"/>
      <c r="Q394" s="94">
        <v>5</v>
      </c>
      <c r="R394" s="97">
        <v>2.4</v>
      </c>
      <c r="S394" s="94"/>
      <c r="T394" s="97"/>
      <c r="U394" s="94"/>
      <c r="V394" s="94">
        <v>38</v>
      </c>
      <c r="W394" s="97"/>
      <c r="X394" s="94"/>
      <c r="Y394" s="94"/>
      <c r="Z394" s="97"/>
      <c r="AA394" s="94"/>
      <c r="AB394" s="94"/>
      <c r="AC394" s="97"/>
      <c r="AD394" s="105"/>
    </row>
    <row r="395" spans="1:30" ht="65.25" thickBot="1">
      <c r="A395" s="83">
        <v>89</v>
      </c>
      <c r="B395" s="22" t="s">
        <v>230</v>
      </c>
      <c r="C395" s="84"/>
      <c r="D395" s="86"/>
      <c r="E395" s="86">
        <v>0.5</v>
      </c>
      <c r="F395" s="86"/>
      <c r="G395" s="86"/>
      <c r="H395" s="86"/>
      <c r="I395" s="86"/>
      <c r="J395" s="86"/>
      <c r="K395" s="86"/>
      <c r="L395" s="86"/>
      <c r="M395" s="86"/>
      <c r="N395" s="87"/>
      <c r="O395" s="83"/>
      <c r="P395" s="87">
        <v>0.5</v>
      </c>
      <c r="Q395" s="83"/>
      <c r="R395" s="87"/>
      <c r="S395" s="83"/>
      <c r="T395" s="83"/>
      <c r="U395" s="87"/>
      <c r="V395" s="83"/>
      <c r="W395" s="87"/>
      <c r="X395" s="83"/>
      <c r="Y395" s="83">
        <v>8</v>
      </c>
      <c r="Z395" s="87"/>
      <c r="AA395" s="83"/>
      <c r="AB395" s="87"/>
      <c r="AC395" s="90"/>
      <c r="AD395" s="83"/>
    </row>
    <row r="396" spans="1:30" ht="65.25" thickBot="1">
      <c r="A396" s="84">
        <v>8</v>
      </c>
      <c r="B396" s="22" t="s">
        <v>37</v>
      </c>
      <c r="C396" s="84"/>
      <c r="D396" s="86"/>
      <c r="E396" s="86"/>
      <c r="F396" s="86"/>
      <c r="G396" s="86"/>
      <c r="H396" s="86"/>
      <c r="I396" s="86">
        <v>98</v>
      </c>
      <c r="J396" s="86"/>
      <c r="K396" s="86"/>
      <c r="L396" s="86"/>
      <c r="M396" s="86"/>
      <c r="N396" s="87"/>
      <c r="O396" s="83"/>
      <c r="P396" s="87">
        <v>4</v>
      </c>
      <c r="Q396" s="83"/>
      <c r="R396" s="87"/>
      <c r="S396" s="83">
        <v>18</v>
      </c>
      <c r="T396" s="90"/>
      <c r="U396" s="83"/>
      <c r="V396" s="83"/>
      <c r="W396" s="87"/>
      <c r="X396" s="83"/>
      <c r="Y396" s="83"/>
      <c r="Z396" s="87"/>
      <c r="AA396" s="83"/>
      <c r="AB396" s="87"/>
      <c r="AC396" s="90"/>
      <c r="AD396" s="83"/>
    </row>
    <row r="397" spans="1:30" ht="65.25" thickBot="1">
      <c r="A397" s="83">
        <v>9</v>
      </c>
      <c r="B397" s="25" t="s">
        <v>225</v>
      </c>
      <c r="C397" s="84"/>
      <c r="D397" s="86"/>
      <c r="E397" s="86"/>
      <c r="F397" s="86"/>
      <c r="G397" s="86"/>
      <c r="H397" s="86"/>
      <c r="I397" s="86"/>
      <c r="J397" s="86"/>
      <c r="K397" s="86"/>
      <c r="L397" s="86"/>
      <c r="M397" s="86">
        <v>15</v>
      </c>
      <c r="N397" s="87"/>
      <c r="O397" s="84">
        <v>10</v>
      </c>
      <c r="P397" s="87"/>
      <c r="Q397" s="84"/>
      <c r="R397" s="87"/>
      <c r="S397" s="84"/>
      <c r="T397" s="87"/>
      <c r="U397" s="84"/>
      <c r="V397" s="84"/>
      <c r="W397" s="87"/>
      <c r="X397" s="84"/>
      <c r="Y397" s="84"/>
      <c r="Z397" s="87"/>
      <c r="AA397" s="84"/>
      <c r="AB397" s="87"/>
      <c r="AC397" s="88"/>
      <c r="AD397" s="83"/>
    </row>
    <row r="398" spans="1:30" ht="129.75" thickBot="1">
      <c r="A398" s="83" t="s">
        <v>32</v>
      </c>
      <c r="B398" s="22" t="s">
        <v>56</v>
      </c>
      <c r="C398" s="84">
        <v>20</v>
      </c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7"/>
      <c r="U398" s="83"/>
      <c r="V398" s="86"/>
      <c r="W398" s="87"/>
      <c r="X398" s="83"/>
      <c r="Y398" s="86"/>
      <c r="Z398" s="86"/>
      <c r="AA398" s="86"/>
      <c r="AB398" s="86"/>
      <c r="AC398" s="87"/>
      <c r="AD398" s="83"/>
    </row>
    <row r="399" spans="1:30" ht="129.75" thickBot="1">
      <c r="A399" s="83" t="s">
        <v>32</v>
      </c>
      <c r="B399" s="22" t="s">
        <v>58</v>
      </c>
      <c r="C399" s="84"/>
      <c r="D399" s="86">
        <v>40</v>
      </c>
      <c r="E399" s="86"/>
      <c r="F399" s="86"/>
      <c r="G399" s="86"/>
      <c r="H399" s="86"/>
      <c r="I399" s="86"/>
      <c r="J399" s="86"/>
      <c r="K399" s="86"/>
      <c r="L399" s="86"/>
      <c r="M399" s="86"/>
      <c r="N399" s="88"/>
      <c r="O399" s="84"/>
      <c r="P399" s="85"/>
      <c r="Q399" s="85"/>
      <c r="R399" s="85"/>
      <c r="S399" s="85"/>
      <c r="T399" s="84"/>
      <c r="U399" s="91"/>
      <c r="V399" s="84"/>
      <c r="W399" s="91"/>
      <c r="X399" s="84"/>
      <c r="Y399" s="85"/>
      <c r="Z399" s="91"/>
      <c r="AA399" s="84"/>
      <c r="AB399" s="85"/>
      <c r="AC399" s="91"/>
      <c r="AD399" s="84"/>
    </row>
    <row r="400" spans="1:30" ht="65.25" thickBot="1">
      <c r="A400" s="84"/>
      <c r="B400" s="25" t="s">
        <v>29</v>
      </c>
      <c r="C400" s="84">
        <f aca="true" t="shared" si="68" ref="C400:AD400">SUM(C392:C399)</f>
        <v>20</v>
      </c>
      <c r="D400" s="84">
        <f t="shared" si="68"/>
        <v>40</v>
      </c>
      <c r="E400" s="84">
        <f t="shared" si="68"/>
        <v>4.5</v>
      </c>
      <c r="F400" s="84">
        <f t="shared" si="68"/>
        <v>0</v>
      </c>
      <c r="G400" s="84">
        <f t="shared" si="68"/>
        <v>8</v>
      </c>
      <c r="H400" s="84">
        <f t="shared" si="68"/>
        <v>0</v>
      </c>
      <c r="I400" s="84">
        <f t="shared" si="68"/>
        <v>148</v>
      </c>
      <c r="J400" s="84">
        <f t="shared" si="68"/>
        <v>71.2</v>
      </c>
      <c r="K400" s="84">
        <f t="shared" si="68"/>
        <v>0</v>
      </c>
      <c r="L400" s="84">
        <f t="shared" si="68"/>
        <v>0</v>
      </c>
      <c r="M400" s="84">
        <f t="shared" si="68"/>
        <v>15</v>
      </c>
      <c r="N400" s="84">
        <f t="shared" si="68"/>
        <v>0</v>
      </c>
      <c r="O400" s="84">
        <f t="shared" si="68"/>
        <v>10</v>
      </c>
      <c r="P400" s="84">
        <f t="shared" si="68"/>
        <v>6.5</v>
      </c>
      <c r="Q400" s="84">
        <f t="shared" si="68"/>
        <v>5</v>
      </c>
      <c r="R400" s="84">
        <f t="shared" si="68"/>
        <v>2.4</v>
      </c>
      <c r="S400" s="84">
        <f t="shared" si="68"/>
        <v>18</v>
      </c>
      <c r="T400" s="84">
        <f t="shared" si="68"/>
        <v>0</v>
      </c>
      <c r="U400" s="84">
        <f t="shared" si="68"/>
        <v>0</v>
      </c>
      <c r="V400" s="84">
        <f t="shared" si="68"/>
        <v>48</v>
      </c>
      <c r="W400" s="84">
        <f t="shared" si="68"/>
        <v>0</v>
      </c>
      <c r="X400" s="84">
        <f t="shared" si="68"/>
        <v>0</v>
      </c>
      <c r="Y400" s="84">
        <f t="shared" si="68"/>
        <v>8</v>
      </c>
      <c r="Z400" s="84">
        <f t="shared" si="68"/>
        <v>0</v>
      </c>
      <c r="AA400" s="84">
        <f t="shared" si="68"/>
        <v>0</v>
      </c>
      <c r="AB400" s="84">
        <f t="shared" si="68"/>
        <v>0</v>
      </c>
      <c r="AC400" s="88">
        <f t="shared" si="68"/>
        <v>0</v>
      </c>
      <c r="AD400" s="84">
        <f t="shared" si="68"/>
        <v>0</v>
      </c>
    </row>
    <row r="401" spans="1:30" ht="65.25" thickBot="1">
      <c r="A401" s="150" t="s">
        <v>145</v>
      </c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2"/>
    </row>
    <row r="402" spans="1:30" ht="194.25" thickBot="1">
      <c r="A402" s="92">
        <v>21.1</v>
      </c>
      <c r="B402" s="27" t="s">
        <v>172</v>
      </c>
      <c r="C402" s="83"/>
      <c r="D402" s="86"/>
      <c r="E402" s="83"/>
      <c r="F402" s="83"/>
      <c r="G402" s="83"/>
      <c r="H402" s="86"/>
      <c r="I402" s="86"/>
      <c r="J402" s="86"/>
      <c r="K402" s="86"/>
      <c r="L402" s="86"/>
      <c r="M402" s="86"/>
      <c r="N402" s="87"/>
      <c r="O402" s="84"/>
      <c r="P402" s="87"/>
      <c r="Q402" s="84"/>
      <c r="R402" s="87"/>
      <c r="S402" s="84">
        <v>155</v>
      </c>
      <c r="T402" s="87"/>
      <c r="U402" s="84"/>
      <c r="V402" s="84"/>
      <c r="W402" s="87"/>
      <c r="X402" s="84"/>
      <c r="Y402" s="84"/>
      <c r="Z402" s="87"/>
      <c r="AA402" s="84"/>
      <c r="AB402" s="84"/>
      <c r="AC402" s="88"/>
      <c r="AD402" s="83"/>
    </row>
    <row r="403" spans="1:30" ht="65.25" thickBot="1">
      <c r="A403" s="94">
        <v>78</v>
      </c>
      <c r="B403" s="75" t="s">
        <v>88</v>
      </c>
      <c r="C403" s="95"/>
      <c r="D403" s="106"/>
      <c r="E403" s="106">
        <v>41.7</v>
      </c>
      <c r="F403" s="106"/>
      <c r="G403" s="106"/>
      <c r="H403" s="96"/>
      <c r="I403" s="96"/>
      <c r="J403" s="96"/>
      <c r="K403" s="96"/>
      <c r="L403" s="96"/>
      <c r="M403" s="96"/>
      <c r="N403" s="96"/>
      <c r="O403" s="96">
        <v>8.7</v>
      </c>
      <c r="P403" s="96">
        <v>6</v>
      </c>
      <c r="Q403" s="96">
        <v>0.9</v>
      </c>
      <c r="R403" s="96">
        <v>4.8</v>
      </c>
      <c r="S403" s="96">
        <v>17</v>
      </c>
      <c r="T403" s="96"/>
      <c r="U403" s="96"/>
      <c r="V403" s="96"/>
      <c r="W403" s="96"/>
      <c r="X403" s="96"/>
      <c r="Y403" s="96"/>
      <c r="Z403" s="96"/>
      <c r="AA403" s="96"/>
      <c r="AB403" s="96"/>
      <c r="AC403" s="97"/>
      <c r="AD403" s="84">
        <v>1</v>
      </c>
    </row>
    <row r="404" spans="1:30" ht="65.25" thickBot="1">
      <c r="A404" s="84"/>
      <c r="B404" s="25" t="s">
        <v>29</v>
      </c>
      <c r="C404" s="84">
        <f>C402+C403</f>
        <v>0</v>
      </c>
      <c r="D404" s="84">
        <f aca="true" t="shared" si="69" ref="D404:AD404">D402+D403</f>
        <v>0</v>
      </c>
      <c r="E404" s="84">
        <f t="shared" si="69"/>
        <v>41.7</v>
      </c>
      <c r="F404" s="84">
        <f t="shared" si="69"/>
        <v>0</v>
      </c>
      <c r="G404" s="84">
        <f t="shared" si="69"/>
        <v>0</v>
      </c>
      <c r="H404" s="84">
        <f t="shared" si="69"/>
        <v>0</v>
      </c>
      <c r="I404" s="84">
        <f t="shared" si="69"/>
        <v>0</v>
      </c>
      <c r="J404" s="84">
        <f t="shared" si="69"/>
        <v>0</v>
      </c>
      <c r="K404" s="84">
        <f t="shared" si="69"/>
        <v>0</v>
      </c>
      <c r="L404" s="84">
        <f t="shared" si="69"/>
        <v>0</v>
      </c>
      <c r="M404" s="84">
        <f t="shared" si="69"/>
        <v>0</v>
      </c>
      <c r="N404" s="84">
        <f t="shared" si="69"/>
        <v>0</v>
      </c>
      <c r="O404" s="84">
        <f t="shared" si="69"/>
        <v>8.7</v>
      </c>
      <c r="P404" s="84">
        <f t="shared" si="69"/>
        <v>6</v>
      </c>
      <c r="Q404" s="84">
        <f t="shared" si="69"/>
        <v>0.9</v>
      </c>
      <c r="R404" s="84">
        <f t="shared" si="69"/>
        <v>4.8</v>
      </c>
      <c r="S404" s="84">
        <f t="shared" si="69"/>
        <v>172</v>
      </c>
      <c r="T404" s="84">
        <f t="shared" si="69"/>
        <v>0</v>
      </c>
      <c r="U404" s="84">
        <f t="shared" si="69"/>
        <v>0</v>
      </c>
      <c r="V404" s="84">
        <f t="shared" si="69"/>
        <v>0</v>
      </c>
      <c r="W404" s="84">
        <f t="shared" si="69"/>
        <v>0</v>
      </c>
      <c r="X404" s="84">
        <f t="shared" si="69"/>
        <v>0</v>
      </c>
      <c r="Y404" s="84">
        <f t="shared" si="69"/>
        <v>0</v>
      </c>
      <c r="Z404" s="84">
        <f t="shared" si="69"/>
        <v>0</v>
      </c>
      <c r="AA404" s="84">
        <f t="shared" si="69"/>
        <v>0</v>
      </c>
      <c r="AB404" s="84">
        <f t="shared" si="69"/>
        <v>0</v>
      </c>
      <c r="AC404" s="84">
        <f t="shared" si="69"/>
        <v>0</v>
      </c>
      <c r="AD404" s="84">
        <f t="shared" si="69"/>
        <v>1</v>
      </c>
    </row>
    <row r="405" spans="1:30" ht="65.25" thickBot="1">
      <c r="A405" s="150" t="s">
        <v>144</v>
      </c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2"/>
    </row>
    <row r="406" spans="1:30" ht="129.75" thickBot="1">
      <c r="A406" s="83">
        <v>67</v>
      </c>
      <c r="B406" s="22" t="s">
        <v>180</v>
      </c>
      <c r="C406" s="84"/>
      <c r="D406" s="86"/>
      <c r="E406" s="86"/>
      <c r="F406" s="86"/>
      <c r="G406" s="86"/>
      <c r="H406" s="86"/>
      <c r="I406" s="86">
        <v>54</v>
      </c>
      <c r="J406" s="86">
        <v>16</v>
      </c>
      <c r="K406" s="86"/>
      <c r="L406" s="86"/>
      <c r="M406" s="86"/>
      <c r="N406" s="87"/>
      <c r="O406" s="83"/>
      <c r="P406" s="87"/>
      <c r="Q406" s="83">
        <v>3</v>
      </c>
      <c r="R406" s="87"/>
      <c r="S406" s="83"/>
      <c r="T406" s="83"/>
      <c r="U406" s="87"/>
      <c r="V406" s="83"/>
      <c r="W406" s="87"/>
      <c r="X406" s="84">
        <v>50</v>
      </c>
      <c r="Y406" s="84"/>
      <c r="Z406" s="87"/>
      <c r="AA406" s="83"/>
      <c r="AB406" s="87"/>
      <c r="AC406" s="90"/>
      <c r="AD406" s="83"/>
    </row>
    <row r="407" spans="1:30" ht="129.75" thickBot="1">
      <c r="A407" s="83" t="s">
        <v>32</v>
      </c>
      <c r="B407" s="22" t="s">
        <v>56</v>
      </c>
      <c r="C407" s="86">
        <v>15</v>
      </c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7"/>
      <c r="U407" s="83"/>
      <c r="V407" s="86"/>
      <c r="W407" s="87"/>
      <c r="X407" s="83"/>
      <c r="Y407" s="86"/>
      <c r="Z407" s="86"/>
      <c r="AA407" s="86"/>
      <c r="AB407" s="86"/>
      <c r="AC407" s="87"/>
      <c r="AD407" s="83"/>
    </row>
    <row r="408" spans="1:30" ht="65.25" thickBot="1">
      <c r="A408" s="83">
        <v>76</v>
      </c>
      <c r="B408" s="23" t="s">
        <v>171</v>
      </c>
      <c r="C408" s="84"/>
      <c r="D408" s="86"/>
      <c r="E408" s="86"/>
      <c r="F408" s="86"/>
      <c r="G408" s="86"/>
      <c r="H408" s="86"/>
      <c r="I408" s="86"/>
      <c r="J408" s="86"/>
      <c r="K408" s="86"/>
      <c r="L408" s="86"/>
      <c r="M408" s="86"/>
      <c r="N408" s="83"/>
      <c r="O408" s="84">
        <v>8</v>
      </c>
      <c r="P408" s="83"/>
      <c r="Q408" s="87"/>
      <c r="R408" s="83"/>
      <c r="S408" s="84">
        <v>72</v>
      </c>
      <c r="T408" s="83"/>
      <c r="U408" s="87"/>
      <c r="V408" s="83"/>
      <c r="W408" s="87"/>
      <c r="X408" s="83"/>
      <c r="Y408" s="87"/>
      <c r="Z408" s="83"/>
      <c r="AA408" s="84">
        <v>0.48</v>
      </c>
      <c r="AB408" s="83"/>
      <c r="AC408" s="90"/>
      <c r="AD408" s="84"/>
    </row>
    <row r="409" spans="1:30" ht="129.75" thickBot="1">
      <c r="A409" s="83">
        <v>69</v>
      </c>
      <c r="B409" s="22" t="s">
        <v>106</v>
      </c>
      <c r="C409" s="84"/>
      <c r="D409" s="86"/>
      <c r="E409" s="86"/>
      <c r="F409" s="86"/>
      <c r="G409" s="86"/>
      <c r="H409" s="86"/>
      <c r="I409" s="86"/>
      <c r="J409" s="86"/>
      <c r="K409" s="86"/>
      <c r="L409" s="86">
        <v>85</v>
      </c>
      <c r="M409" s="8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7"/>
      <c r="AD409" s="84"/>
    </row>
    <row r="410" spans="1:30" ht="65.25" thickBot="1">
      <c r="A410" s="80"/>
      <c r="B410" s="22" t="s">
        <v>6</v>
      </c>
      <c r="C410" s="84">
        <f aca="true" t="shared" si="70" ref="C410:AD410">SUM(C406:C409)</f>
        <v>15</v>
      </c>
      <c r="D410" s="84">
        <f t="shared" si="70"/>
        <v>0</v>
      </c>
      <c r="E410" s="84">
        <f t="shared" si="70"/>
        <v>0</v>
      </c>
      <c r="F410" s="84">
        <f t="shared" si="70"/>
        <v>0</v>
      </c>
      <c r="G410" s="84">
        <f t="shared" si="70"/>
        <v>0</v>
      </c>
      <c r="H410" s="84">
        <f t="shared" si="70"/>
        <v>0</v>
      </c>
      <c r="I410" s="84">
        <f t="shared" si="70"/>
        <v>54</v>
      </c>
      <c r="J410" s="84">
        <f t="shared" si="70"/>
        <v>16</v>
      </c>
      <c r="K410" s="84">
        <f t="shared" si="70"/>
        <v>0</v>
      </c>
      <c r="L410" s="84">
        <f t="shared" si="70"/>
        <v>85</v>
      </c>
      <c r="M410" s="84">
        <f t="shared" si="70"/>
        <v>0</v>
      </c>
      <c r="N410" s="84">
        <f t="shared" si="70"/>
        <v>0</v>
      </c>
      <c r="O410" s="84">
        <f t="shared" si="70"/>
        <v>8</v>
      </c>
      <c r="P410" s="84">
        <f t="shared" si="70"/>
        <v>0</v>
      </c>
      <c r="Q410" s="84">
        <f t="shared" si="70"/>
        <v>3</v>
      </c>
      <c r="R410" s="84">
        <f t="shared" si="70"/>
        <v>0</v>
      </c>
      <c r="S410" s="84">
        <f t="shared" si="70"/>
        <v>72</v>
      </c>
      <c r="T410" s="84">
        <f t="shared" si="70"/>
        <v>0</v>
      </c>
      <c r="U410" s="84">
        <f t="shared" si="70"/>
        <v>0</v>
      </c>
      <c r="V410" s="84">
        <f t="shared" si="70"/>
        <v>0</v>
      </c>
      <c r="W410" s="84">
        <f t="shared" si="70"/>
        <v>0</v>
      </c>
      <c r="X410" s="84">
        <f t="shared" si="70"/>
        <v>50</v>
      </c>
      <c r="Y410" s="84">
        <f t="shared" si="70"/>
        <v>0</v>
      </c>
      <c r="Z410" s="84">
        <f t="shared" si="70"/>
        <v>0</v>
      </c>
      <c r="AA410" s="84">
        <f t="shared" si="70"/>
        <v>0.48</v>
      </c>
      <c r="AB410" s="84">
        <f t="shared" si="70"/>
        <v>0</v>
      </c>
      <c r="AC410" s="88">
        <f t="shared" si="70"/>
        <v>0</v>
      </c>
      <c r="AD410" s="84">
        <f t="shared" si="70"/>
        <v>0</v>
      </c>
    </row>
    <row r="411" spans="1:30" ht="194.25" thickBot="1">
      <c r="A411" s="145"/>
      <c r="B411" s="22" t="s">
        <v>148</v>
      </c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8"/>
      <c r="AD411" s="84"/>
    </row>
    <row r="412" spans="1:30" ht="65.25" thickBot="1">
      <c r="A412" s="83"/>
      <c r="B412" s="93" t="s">
        <v>10</v>
      </c>
      <c r="C412" s="84">
        <f aca="true" t="shared" si="71" ref="C412:AD412">C387+C390+C400+C404+C410</f>
        <v>55</v>
      </c>
      <c r="D412" s="84">
        <f t="shared" si="71"/>
        <v>40</v>
      </c>
      <c r="E412" s="84">
        <f t="shared" si="71"/>
        <v>46.2</v>
      </c>
      <c r="F412" s="84">
        <f t="shared" si="71"/>
        <v>0</v>
      </c>
      <c r="G412" s="84">
        <f t="shared" si="71"/>
        <v>27</v>
      </c>
      <c r="H412" s="84">
        <f t="shared" si="71"/>
        <v>0</v>
      </c>
      <c r="I412" s="84">
        <f t="shared" si="71"/>
        <v>202</v>
      </c>
      <c r="J412" s="84">
        <f t="shared" si="71"/>
        <v>87.2</v>
      </c>
      <c r="K412" s="84">
        <f t="shared" si="71"/>
        <v>100</v>
      </c>
      <c r="L412" s="84">
        <f t="shared" si="71"/>
        <v>85</v>
      </c>
      <c r="M412" s="84">
        <f t="shared" si="71"/>
        <v>15</v>
      </c>
      <c r="N412" s="84">
        <f t="shared" si="71"/>
        <v>0</v>
      </c>
      <c r="O412" s="84">
        <f t="shared" si="71"/>
        <v>38.7</v>
      </c>
      <c r="P412" s="84">
        <f t="shared" si="71"/>
        <v>19.5</v>
      </c>
      <c r="Q412" s="84">
        <f t="shared" si="71"/>
        <v>8.9</v>
      </c>
      <c r="R412" s="84">
        <f t="shared" si="71"/>
        <v>7.199999999999999</v>
      </c>
      <c r="S412" s="84">
        <f t="shared" si="71"/>
        <v>465</v>
      </c>
      <c r="T412" s="84">
        <f t="shared" si="71"/>
        <v>0</v>
      </c>
      <c r="U412" s="84">
        <f t="shared" si="71"/>
        <v>0</v>
      </c>
      <c r="V412" s="84">
        <f t="shared" si="71"/>
        <v>48</v>
      </c>
      <c r="W412" s="84">
        <f t="shared" si="71"/>
        <v>0</v>
      </c>
      <c r="X412" s="84">
        <f t="shared" si="71"/>
        <v>50</v>
      </c>
      <c r="Y412" s="84">
        <f t="shared" si="71"/>
        <v>8</v>
      </c>
      <c r="Z412" s="84">
        <f t="shared" si="71"/>
        <v>9</v>
      </c>
      <c r="AA412" s="84">
        <f t="shared" si="71"/>
        <v>0.48</v>
      </c>
      <c r="AB412" s="84">
        <f t="shared" si="71"/>
        <v>2</v>
      </c>
      <c r="AC412" s="88">
        <f t="shared" si="71"/>
        <v>0</v>
      </c>
      <c r="AD412" s="84">
        <f t="shared" si="71"/>
        <v>1</v>
      </c>
    </row>
    <row r="413" spans="1:30" ht="65.25" thickBot="1">
      <c r="A413" s="150" t="s">
        <v>62</v>
      </c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2"/>
    </row>
    <row r="414" spans="1:30" ht="65.25" thickBot="1">
      <c r="A414" s="150" t="s">
        <v>89</v>
      </c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2"/>
    </row>
    <row r="415" spans="1:30" ht="46.5" customHeight="1">
      <c r="A415" s="166" t="s">
        <v>30</v>
      </c>
      <c r="B415" s="168" t="s">
        <v>23</v>
      </c>
      <c r="C415" s="153" t="s">
        <v>116</v>
      </c>
      <c r="D415" s="153" t="s">
        <v>117</v>
      </c>
      <c r="E415" s="153" t="s">
        <v>118</v>
      </c>
      <c r="F415" s="153" t="s">
        <v>119</v>
      </c>
      <c r="G415" s="153" t="s">
        <v>120</v>
      </c>
      <c r="H415" s="153" t="s">
        <v>121</v>
      </c>
      <c r="I415" s="153" t="s">
        <v>110</v>
      </c>
      <c r="J415" s="153" t="s">
        <v>257</v>
      </c>
      <c r="K415" s="140"/>
      <c r="L415" s="153" t="s">
        <v>142</v>
      </c>
      <c r="M415" s="153" t="s">
        <v>79</v>
      </c>
      <c r="N415" s="153" t="s">
        <v>123</v>
      </c>
      <c r="O415" s="153" t="s">
        <v>80</v>
      </c>
      <c r="P415" s="153" t="s">
        <v>124</v>
      </c>
      <c r="Q415" s="153" t="s">
        <v>81</v>
      </c>
      <c r="R415" s="153" t="s">
        <v>125</v>
      </c>
      <c r="S415" s="153" t="s">
        <v>126</v>
      </c>
      <c r="T415" s="153" t="s">
        <v>127</v>
      </c>
      <c r="U415" s="140"/>
      <c r="V415" s="153" t="s">
        <v>113</v>
      </c>
      <c r="W415" s="153" t="s">
        <v>129</v>
      </c>
      <c r="X415" s="153" t="s">
        <v>84</v>
      </c>
      <c r="Y415" s="153" t="s">
        <v>82</v>
      </c>
      <c r="Z415" s="153" t="s">
        <v>83</v>
      </c>
      <c r="AA415" s="153" t="s">
        <v>85</v>
      </c>
      <c r="AB415" s="140"/>
      <c r="AC415" s="158" t="s">
        <v>78</v>
      </c>
      <c r="AD415" s="153" t="s">
        <v>138</v>
      </c>
    </row>
    <row r="416" spans="1:30" ht="406.5" customHeight="1" thickBot="1">
      <c r="A416" s="167"/>
      <c r="B416" s="169"/>
      <c r="C416" s="154"/>
      <c r="D416" s="154"/>
      <c r="E416" s="154"/>
      <c r="F416" s="154"/>
      <c r="G416" s="154"/>
      <c r="H416" s="154"/>
      <c r="I416" s="154"/>
      <c r="J416" s="154"/>
      <c r="K416" s="141" t="s">
        <v>122</v>
      </c>
      <c r="L416" s="154"/>
      <c r="M416" s="154"/>
      <c r="N416" s="154"/>
      <c r="O416" s="154"/>
      <c r="P416" s="154"/>
      <c r="Q416" s="154"/>
      <c r="R416" s="154"/>
      <c r="S416" s="154"/>
      <c r="T416" s="154"/>
      <c r="U416" s="141" t="s">
        <v>128</v>
      </c>
      <c r="V416" s="154"/>
      <c r="W416" s="154"/>
      <c r="X416" s="154"/>
      <c r="Y416" s="154"/>
      <c r="Z416" s="154"/>
      <c r="AA416" s="154"/>
      <c r="AB416" s="141" t="s">
        <v>77</v>
      </c>
      <c r="AC416" s="159"/>
      <c r="AD416" s="154"/>
    </row>
    <row r="417" spans="1:30" ht="65.25" thickBot="1">
      <c r="A417" s="145">
        <v>1</v>
      </c>
      <c r="B417" s="79">
        <v>2</v>
      </c>
      <c r="C417" s="80" t="s">
        <v>54</v>
      </c>
      <c r="D417" s="81">
        <v>4</v>
      </c>
      <c r="E417" s="80">
        <v>5</v>
      </c>
      <c r="F417" s="80">
        <v>6</v>
      </c>
      <c r="G417" s="80">
        <v>7</v>
      </c>
      <c r="H417" s="80">
        <v>8</v>
      </c>
      <c r="I417" s="80" t="s">
        <v>55</v>
      </c>
      <c r="J417" s="81">
        <v>10</v>
      </c>
      <c r="K417" s="80">
        <v>11</v>
      </c>
      <c r="L417" s="80">
        <v>12</v>
      </c>
      <c r="M417" s="80">
        <v>13</v>
      </c>
      <c r="N417" s="80">
        <v>14</v>
      </c>
      <c r="O417" s="80">
        <v>15</v>
      </c>
      <c r="P417" s="143">
        <v>16</v>
      </c>
      <c r="Q417" s="80">
        <v>17</v>
      </c>
      <c r="R417" s="143">
        <v>18</v>
      </c>
      <c r="S417" s="80">
        <v>19</v>
      </c>
      <c r="T417" s="143">
        <v>20</v>
      </c>
      <c r="U417" s="143">
        <v>21</v>
      </c>
      <c r="V417" s="80">
        <v>22</v>
      </c>
      <c r="W417" s="80">
        <v>23</v>
      </c>
      <c r="X417" s="143">
        <v>24</v>
      </c>
      <c r="Y417" s="80">
        <v>25</v>
      </c>
      <c r="Z417" s="80">
        <v>26</v>
      </c>
      <c r="AA417" s="80">
        <v>27</v>
      </c>
      <c r="AB417" s="143">
        <v>28</v>
      </c>
      <c r="AC417" s="142">
        <v>29</v>
      </c>
      <c r="AD417" s="80">
        <v>31</v>
      </c>
    </row>
    <row r="418" spans="1:30" ht="65.25" thickBot="1">
      <c r="A418" s="150" t="s">
        <v>5</v>
      </c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2"/>
    </row>
    <row r="419" spans="1:30" ht="65.25" thickBot="1">
      <c r="A419" s="83">
        <v>14</v>
      </c>
      <c r="B419" s="25" t="s">
        <v>176</v>
      </c>
      <c r="C419" s="84"/>
      <c r="D419" s="86"/>
      <c r="E419" s="86"/>
      <c r="F419" s="86"/>
      <c r="G419" s="86">
        <v>23</v>
      </c>
      <c r="H419" s="86"/>
      <c r="I419" s="86"/>
      <c r="J419" s="86"/>
      <c r="K419" s="86"/>
      <c r="L419" s="86"/>
      <c r="M419" s="86"/>
      <c r="N419" s="83"/>
      <c r="O419" s="87">
        <v>4</v>
      </c>
      <c r="P419" s="83">
        <v>2</v>
      </c>
      <c r="Q419" s="87"/>
      <c r="R419" s="83"/>
      <c r="S419" s="87">
        <v>113</v>
      </c>
      <c r="T419" s="83"/>
      <c r="U419" s="87"/>
      <c r="V419" s="84"/>
      <c r="W419" s="87"/>
      <c r="X419" s="83"/>
      <c r="Y419" s="87"/>
      <c r="Z419" s="83"/>
      <c r="AA419" s="87"/>
      <c r="AB419" s="84"/>
      <c r="AC419" s="90"/>
      <c r="AD419" s="83"/>
    </row>
    <row r="420" spans="1:30" ht="65.25" thickBot="1">
      <c r="A420" s="84">
        <v>15</v>
      </c>
      <c r="B420" s="23" t="s">
        <v>224</v>
      </c>
      <c r="C420" s="84"/>
      <c r="D420" s="85"/>
      <c r="E420" s="85"/>
      <c r="F420" s="85"/>
      <c r="G420" s="85"/>
      <c r="H420" s="86"/>
      <c r="I420" s="86"/>
      <c r="J420" s="86"/>
      <c r="K420" s="86"/>
      <c r="L420" s="86"/>
      <c r="M420" s="86"/>
      <c r="N420" s="87"/>
      <c r="O420" s="84">
        <v>8</v>
      </c>
      <c r="P420" s="87"/>
      <c r="Q420" s="84"/>
      <c r="R420" s="87"/>
      <c r="S420" s="84">
        <v>90</v>
      </c>
      <c r="T420" s="84"/>
      <c r="U420" s="87"/>
      <c r="V420" s="84"/>
      <c r="W420" s="87"/>
      <c r="X420" s="84"/>
      <c r="Y420" s="84"/>
      <c r="Z420" s="87"/>
      <c r="AA420" s="84"/>
      <c r="AB420" s="84"/>
      <c r="AC420" s="90">
        <v>1.1</v>
      </c>
      <c r="AD420" s="83"/>
    </row>
    <row r="421" spans="1:30" ht="65.25" thickBot="1">
      <c r="A421" s="83">
        <v>16</v>
      </c>
      <c r="B421" s="22" t="s">
        <v>36</v>
      </c>
      <c r="C421" s="86">
        <v>30</v>
      </c>
      <c r="D421" s="85"/>
      <c r="E421" s="85"/>
      <c r="F421" s="85"/>
      <c r="G421" s="85"/>
      <c r="H421" s="86"/>
      <c r="I421" s="86"/>
      <c r="J421" s="86"/>
      <c r="K421" s="86"/>
      <c r="L421" s="86"/>
      <c r="M421" s="86"/>
      <c r="N421" s="87"/>
      <c r="O421" s="84"/>
      <c r="P421" s="84">
        <v>5</v>
      </c>
      <c r="Q421" s="84"/>
      <c r="R421" s="87"/>
      <c r="S421" s="84"/>
      <c r="T421" s="87"/>
      <c r="U421" s="83"/>
      <c r="V421" s="84"/>
      <c r="W421" s="83"/>
      <c r="X421" s="87"/>
      <c r="Y421" s="84"/>
      <c r="Z421" s="84"/>
      <c r="AA421" s="87"/>
      <c r="AB421" s="83"/>
      <c r="AC421" s="88"/>
      <c r="AD421" s="84"/>
    </row>
    <row r="422" spans="1:30" ht="65.25" thickBot="1">
      <c r="A422" s="83"/>
      <c r="B422" s="22" t="s">
        <v>6</v>
      </c>
      <c r="C422" s="84">
        <f>C419+C420+C421</f>
        <v>30</v>
      </c>
      <c r="D422" s="84">
        <f aca="true" t="shared" si="72" ref="D422:AD422">D419+D420+D421</f>
        <v>0</v>
      </c>
      <c r="E422" s="84">
        <f t="shared" si="72"/>
        <v>0</v>
      </c>
      <c r="F422" s="84">
        <f t="shared" si="72"/>
        <v>0</v>
      </c>
      <c r="G422" s="84">
        <f t="shared" si="72"/>
        <v>23</v>
      </c>
      <c r="H422" s="84">
        <f t="shared" si="72"/>
        <v>0</v>
      </c>
      <c r="I422" s="84">
        <f t="shared" si="72"/>
        <v>0</v>
      </c>
      <c r="J422" s="84">
        <f t="shared" si="72"/>
        <v>0</v>
      </c>
      <c r="K422" s="84">
        <f t="shared" si="72"/>
        <v>0</v>
      </c>
      <c r="L422" s="84">
        <f t="shared" si="72"/>
        <v>0</v>
      </c>
      <c r="M422" s="84">
        <f t="shared" si="72"/>
        <v>0</v>
      </c>
      <c r="N422" s="84">
        <f t="shared" si="72"/>
        <v>0</v>
      </c>
      <c r="O422" s="84">
        <f t="shared" si="72"/>
        <v>12</v>
      </c>
      <c r="P422" s="84">
        <f t="shared" si="72"/>
        <v>7</v>
      </c>
      <c r="Q422" s="84">
        <f t="shared" si="72"/>
        <v>0</v>
      </c>
      <c r="R422" s="84">
        <f t="shared" si="72"/>
        <v>0</v>
      </c>
      <c r="S422" s="84">
        <f t="shared" si="72"/>
        <v>203</v>
      </c>
      <c r="T422" s="84">
        <f t="shared" si="72"/>
        <v>0</v>
      </c>
      <c r="U422" s="84">
        <f t="shared" si="72"/>
        <v>0</v>
      </c>
      <c r="V422" s="84">
        <f t="shared" si="72"/>
        <v>0</v>
      </c>
      <c r="W422" s="84">
        <f t="shared" si="72"/>
        <v>0</v>
      </c>
      <c r="X422" s="84">
        <f t="shared" si="72"/>
        <v>0</v>
      </c>
      <c r="Y422" s="84">
        <f t="shared" si="72"/>
        <v>0</v>
      </c>
      <c r="Z422" s="84">
        <f t="shared" si="72"/>
        <v>0</v>
      </c>
      <c r="AA422" s="84">
        <f t="shared" si="72"/>
        <v>0</v>
      </c>
      <c r="AB422" s="84">
        <f t="shared" si="72"/>
        <v>0</v>
      </c>
      <c r="AC422" s="84">
        <f t="shared" si="72"/>
        <v>1.1</v>
      </c>
      <c r="AD422" s="84">
        <f t="shared" si="72"/>
        <v>0</v>
      </c>
    </row>
    <row r="423" spans="1:30" ht="65.25" thickBot="1">
      <c r="A423" s="155" t="s">
        <v>53</v>
      </c>
      <c r="B423" s="156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7"/>
    </row>
    <row r="424" spans="1:30" ht="65.25" thickBot="1">
      <c r="A424" s="83" t="s">
        <v>32</v>
      </c>
      <c r="B424" s="25" t="s">
        <v>182</v>
      </c>
      <c r="C424" s="84"/>
      <c r="D424" s="86"/>
      <c r="E424" s="86"/>
      <c r="F424" s="86"/>
      <c r="G424" s="86"/>
      <c r="H424" s="86"/>
      <c r="I424" s="86"/>
      <c r="J424" s="86"/>
      <c r="K424" s="86">
        <v>100</v>
      </c>
      <c r="L424" s="86"/>
      <c r="M424" s="86"/>
      <c r="N424" s="87"/>
      <c r="O424" s="84"/>
      <c r="P424" s="87"/>
      <c r="Q424" s="84"/>
      <c r="R424" s="87"/>
      <c r="S424" s="84"/>
      <c r="T424" s="87"/>
      <c r="U424" s="84"/>
      <c r="V424" s="84"/>
      <c r="W424" s="87"/>
      <c r="X424" s="84"/>
      <c r="Y424" s="84"/>
      <c r="Z424" s="87"/>
      <c r="AA424" s="84"/>
      <c r="AB424" s="87"/>
      <c r="AC424" s="88"/>
      <c r="AD424" s="83"/>
    </row>
    <row r="425" spans="1:30" ht="65.25" thickBot="1">
      <c r="A425" s="83"/>
      <c r="B425" s="22" t="s">
        <v>29</v>
      </c>
      <c r="C425" s="86">
        <f>SUM(C424)</f>
        <v>0</v>
      </c>
      <c r="D425" s="86">
        <f>SUM(D424)</f>
        <v>0</v>
      </c>
      <c r="E425" s="86">
        <f aca="true" t="shared" si="73" ref="E425:AC425">SUM(E424)</f>
        <v>0</v>
      </c>
      <c r="F425" s="86">
        <f t="shared" si="73"/>
        <v>0</v>
      </c>
      <c r="G425" s="86">
        <f t="shared" si="73"/>
        <v>0</v>
      </c>
      <c r="H425" s="86">
        <f t="shared" si="73"/>
        <v>0</v>
      </c>
      <c r="I425" s="86">
        <f t="shared" si="73"/>
        <v>0</v>
      </c>
      <c r="J425" s="86">
        <f t="shared" si="73"/>
        <v>0</v>
      </c>
      <c r="K425" s="86">
        <f t="shared" si="73"/>
        <v>100</v>
      </c>
      <c r="L425" s="86">
        <f t="shared" si="73"/>
        <v>0</v>
      </c>
      <c r="M425" s="86">
        <f t="shared" si="73"/>
        <v>0</v>
      </c>
      <c r="N425" s="86">
        <f t="shared" si="73"/>
        <v>0</v>
      </c>
      <c r="O425" s="86">
        <f t="shared" si="73"/>
        <v>0</v>
      </c>
      <c r="P425" s="86">
        <f t="shared" si="73"/>
        <v>0</v>
      </c>
      <c r="Q425" s="86">
        <f t="shared" si="73"/>
        <v>0</v>
      </c>
      <c r="R425" s="86">
        <f t="shared" si="73"/>
        <v>0</v>
      </c>
      <c r="S425" s="86">
        <f t="shared" si="73"/>
        <v>0</v>
      </c>
      <c r="T425" s="86">
        <f t="shared" si="73"/>
        <v>0</v>
      </c>
      <c r="U425" s="86">
        <f t="shared" si="73"/>
        <v>0</v>
      </c>
      <c r="V425" s="86">
        <f t="shared" si="73"/>
        <v>0</v>
      </c>
      <c r="W425" s="86">
        <f t="shared" si="73"/>
        <v>0</v>
      </c>
      <c r="X425" s="86">
        <f t="shared" si="73"/>
        <v>0</v>
      </c>
      <c r="Y425" s="86">
        <f t="shared" si="73"/>
        <v>0</v>
      </c>
      <c r="Z425" s="86">
        <f t="shared" si="73"/>
        <v>0</v>
      </c>
      <c r="AA425" s="86">
        <f t="shared" si="73"/>
        <v>0</v>
      </c>
      <c r="AB425" s="86">
        <f t="shared" si="73"/>
        <v>0</v>
      </c>
      <c r="AC425" s="87">
        <f t="shared" si="73"/>
        <v>0</v>
      </c>
      <c r="AD425" s="83">
        <f>SUM(AD424)</f>
        <v>0</v>
      </c>
    </row>
    <row r="426" spans="1:30" ht="65.25" thickBot="1">
      <c r="A426" s="155" t="s">
        <v>31</v>
      </c>
      <c r="B426" s="156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7"/>
    </row>
    <row r="427" spans="1:30" ht="129.75" thickBot="1">
      <c r="A427" s="84">
        <v>12</v>
      </c>
      <c r="B427" s="22" t="s">
        <v>227</v>
      </c>
      <c r="C427" s="84"/>
      <c r="D427" s="86"/>
      <c r="E427" s="86"/>
      <c r="F427" s="86"/>
      <c r="G427" s="86"/>
      <c r="H427" s="86"/>
      <c r="I427" s="86"/>
      <c r="J427" s="86">
        <v>31</v>
      </c>
      <c r="K427" s="86"/>
      <c r="L427" s="86"/>
      <c r="M427" s="86"/>
      <c r="N427" s="87"/>
      <c r="O427" s="83">
        <v>1</v>
      </c>
      <c r="P427" s="87"/>
      <c r="Q427" s="83">
        <v>3</v>
      </c>
      <c r="R427" s="87"/>
      <c r="S427" s="83"/>
      <c r="T427" s="87"/>
      <c r="U427" s="84"/>
      <c r="V427" s="83"/>
      <c r="W427" s="87"/>
      <c r="X427" s="84"/>
      <c r="Y427" s="83"/>
      <c r="Z427" s="87"/>
      <c r="AA427" s="83"/>
      <c r="AB427" s="84"/>
      <c r="AC427" s="88"/>
      <c r="AD427" s="80"/>
    </row>
    <row r="428" spans="1:30" ht="129.75" thickBot="1">
      <c r="A428" s="83">
        <v>30</v>
      </c>
      <c r="B428" s="22" t="s">
        <v>237</v>
      </c>
      <c r="C428" s="84"/>
      <c r="D428" s="86"/>
      <c r="E428" s="86">
        <v>15</v>
      </c>
      <c r="F428" s="86"/>
      <c r="G428" s="86"/>
      <c r="H428" s="86"/>
      <c r="I428" s="86"/>
      <c r="J428" s="86">
        <v>14.2</v>
      </c>
      <c r="K428" s="86"/>
      <c r="L428" s="86"/>
      <c r="M428" s="86"/>
      <c r="N428" s="87"/>
      <c r="O428" s="83"/>
      <c r="P428" s="87">
        <v>2</v>
      </c>
      <c r="Q428" s="83"/>
      <c r="R428" s="87">
        <v>3</v>
      </c>
      <c r="S428" s="83"/>
      <c r="T428" s="87"/>
      <c r="U428" s="83"/>
      <c r="V428" s="83"/>
      <c r="W428" s="87">
        <v>19</v>
      </c>
      <c r="X428" s="83"/>
      <c r="Y428" s="84"/>
      <c r="Z428" s="87"/>
      <c r="AA428" s="83"/>
      <c r="AB428" s="83"/>
      <c r="AC428" s="87"/>
      <c r="AD428" s="83"/>
    </row>
    <row r="429" spans="1:30" ht="65.25" thickBot="1">
      <c r="A429" s="84">
        <v>4</v>
      </c>
      <c r="B429" s="22" t="s">
        <v>215</v>
      </c>
      <c r="C429" s="84"/>
      <c r="D429" s="86"/>
      <c r="E429" s="86"/>
      <c r="F429" s="86"/>
      <c r="G429" s="86"/>
      <c r="H429" s="86"/>
      <c r="I429" s="86">
        <v>120</v>
      </c>
      <c r="J429" s="86">
        <v>35</v>
      </c>
      <c r="K429" s="86"/>
      <c r="L429" s="86"/>
      <c r="M429" s="86"/>
      <c r="N429" s="87"/>
      <c r="O429" s="83"/>
      <c r="P429" s="87"/>
      <c r="Q429" s="83">
        <v>5</v>
      </c>
      <c r="R429" s="87"/>
      <c r="S429" s="83"/>
      <c r="T429" s="87"/>
      <c r="U429" s="83"/>
      <c r="V429" s="83">
        <v>47</v>
      </c>
      <c r="W429" s="87"/>
      <c r="X429" s="83"/>
      <c r="Y429" s="84"/>
      <c r="Z429" s="87"/>
      <c r="AA429" s="83"/>
      <c r="AB429" s="83"/>
      <c r="AC429" s="87"/>
      <c r="AD429" s="83"/>
    </row>
    <row r="430" spans="1:30" ht="194.25" thickBot="1">
      <c r="A430" s="83">
        <v>20</v>
      </c>
      <c r="B430" s="22" t="s">
        <v>232</v>
      </c>
      <c r="C430" s="84"/>
      <c r="D430" s="85"/>
      <c r="E430" s="85"/>
      <c r="F430" s="85">
        <v>6.8</v>
      </c>
      <c r="G430" s="85"/>
      <c r="H430" s="86"/>
      <c r="I430" s="86"/>
      <c r="J430" s="86"/>
      <c r="K430" s="86"/>
      <c r="L430" s="86"/>
      <c r="M430" s="86"/>
      <c r="N430" s="87"/>
      <c r="O430" s="84">
        <v>6</v>
      </c>
      <c r="P430" s="87"/>
      <c r="Q430" s="84"/>
      <c r="R430" s="87"/>
      <c r="S430" s="84"/>
      <c r="T430" s="87"/>
      <c r="U430" s="83"/>
      <c r="V430" s="84"/>
      <c r="W430" s="87"/>
      <c r="X430" s="83"/>
      <c r="Y430" s="84"/>
      <c r="Z430" s="84"/>
      <c r="AA430" s="87"/>
      <c r="AB430" s="83"/>
      <c r="AC430" s="88"/>
      <c r="AD430" s="83"/>
    </row>
    <row r="431" spans="1:30" ht="129.75" thickBot="1">
      <c r="A431" s="83" t="s">
        <v>32</v>
      </c>
      <c r="B431" s="22" t="s">
        <v>56</v>
      </c>
      <c r="C431" s="84">
        <v>20</v>
      </c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7"/>
      <c r="U431" s="83"/>
      <c r="V431" s="86"/>
      <c r="W431" s="87"/>
      <c r="X431" s="83"/>
      <c r="Y431" s="86"/>
      <c r="Z431" s="86"/>
      <c r="AA431" s="86"/>
      <c r="AB431" s="86"/>
      <c r="AC431" s="87"/>
      <c r="AD431" s="83"/>
    </row>
    <row r="432" spans="1:30" ht="129.75" thickBot="1">
      <c r="A432" s="83" t="s">
        <v>32</v>
      </c>
      <c r="B432" s="22" t="s">
        <v>58</v>
      </c>
      <c r="C432" s="84"/>
      <c r="D432" s="86">
        <v>40</v>
      </c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7"/>
      <c r="X432" s="83"/>
      <c r="Y432" s="86"/>
      <c r="Z432" s="86"/>
      <c r="AA432" s="86"/>
      <c r="AB432" s="86"/>
      <c r="AC432" s="87"/>
      <c r="AD432" s="83"/>
    </row>
    <row r="433" spans="1:30" ht="65.25" thickBot="1">
      <c r="A433" s="83"/>
      <c r="B433" s="22" t="s">
        <v>6</v>
      </c>
      <c r="C433" s="84">
        <f aca="true" t="shared" si="74" ref="C433:AD433">SUM(C427:C432)</f>
        <v>20</v>
      </c>
      <c r="D433" s="84">
        <f t="shared" si="74"/>
        <v>40</v>
      </c>
      <c r="E433" s="84">
        <f t="shared" si="74"/>
        <v>15</v>
      </c>
      <c r="F433" s="84">
        <f t="shared" si="74"/>
        <v>6.8</v>
      </c>
      <c r="G433" s="84">
        <f t="shared" si="74"/>
        <v>0</v>
      </c>
      <c r="H433" s="84">
        <f t="shared" si="74"/>
        <v>0</v>
      </c>
      <c r="I433" s="84">
        <f t="shared" si="74"/>
        <v>120</v>
      </c>
      <c r="J433" s="84">
        <f t="shared" si="74"/>
        <v>80.2</v>
      </c>
      <c r="K433" s="84">
        <f t="shared" si="74"/>
        <v>0</v>
      </c>
      <c r="L433" s="84">
        <f t="shared" si="74"/>
        <v>0</v>
      </c>
      <c r="M433" s="84">
        <f t="shared" si="74"/>
        <v>0</v>
      </c>
      <c r="N433" s="84">
        <f t="shared" si="74"/>
        <v>0</v>
      </c>
      <c r="O433" s="84">
        <f t="shared" si="74"/>
        <v>7</v>
      </c>
      <c r="P433" s="84">
        <f t="shared" si="74"/>
        <v>2</v>
      </c>
      <c r="Q433" s="84">
        <f t="shared" si="74"/>
        <v>8</v>
      </c>
      <c r="R433" s="84">
        <f t="shared" si="74"/>
        <v>3</v>
      </c>
      <c r="S433" s="84">
        <f t="shared" si="74"/>
        <v>0</v>
      </c>
      <c r="T433" s="84">
        <f t="shared" si="74"/>
        <v>0</v>
      </c>
      <c r="U433" s="84">
        <f t="shared" si="74"/>
        <v>0</v>
      </c>
      <c r="V433" s="84">
        <f t="shared" si="74"/>
        <v>47</v>
      </c>
      <c r="W433" s="84">
        <f t="shared" si="74"/>
        <v>19</v>
      </c>
      <c r="X433" s="84">
        <f t="shared" si="74"/>
        <v>0</v>
      </c>
      <c r="Y433" s="84">
        <f t="shared" si="74"/>
        <v>0</v>
      </c>
      <c r="Z433" s="84">
        <f t="shared" si="74"/>
        <v>0</v>
      </c>
      <c r="AA433" s="84">
        <f t="shared" si="74"/>
        <v>0</v>
      </c>
      <c r="AB433" s="84">
        <f t="shared" si="74"/>
        <v>0</v>
      </c>
      <c r="AC433" s="88">
        <f t="shared" si="74"/>
        <v>0</v>
      </c>
      <c r="AD433" s="84">
        <f t="shared" si="74"/>
        <v>0</v>
      </c>
    </row>
    <row r="434" spans="1:30" ht="65.25" thickBot="1">
      <c r="A434" s="150" t="s">
        <v>145</v>
      </c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2"/>
    </row>
    <row r="435" spans="1:30" ht="194.25" thickBot="1">
      <c r="A435" s="92">
        <v>21.1</v>
      </c>
      <c r="B435" s="27" t="s">
        <v>172</v>
      </c>
      <c r="C435" s="83"/>
      <c r="D435" s="86"/>
      <c r="E435" s="83"/>
      <c r="F435" s="83"/>
      <c r="G435" s="83"/>
      <c r="H435" s="86"/>
      <c r="I435" s="86"/>
      <c r="J435" s="86"/>
      <c r="K435" s="86"/>
      <c r="L435" s="86"/>
      <c r="M435" s="86"/>
      <c r="N435" s="87"/>
      <c r="O435" s="84"/>
      <c r="P435" s="87"/>
      <c r="Q435" s="84"/>
      <c r="R435" s="87"/>
      <c r="S435" s="84">
        <v>155</v>
      </c>
      <c r="T435" s="87"/>
      <c r="U435" s="84"/>
      <c r="V435" s="84"/>
      <c r="W435" s="87"/>
      <c r="X435" s="84"/>
      <c r="Y435" s="84"/>
      <c r="Z435" s="87"/>
      <c r="AA435" s="84"/>
      <c r="AB435" s="84"/>
      <c r="AC435" s="88"/>
      <c r="AD435" s="83"/>
    </row>
    <row r="436" spans="1:30" ht="194.25" thickBot="1">
      <c r="A436" s="83">
        <v>24</v>
      </c>
      <c r="B436" s="22" t="s">
        <v>105</v>
      </c>
      <c r="C436" s="84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>
        <v>30</v>
      </c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7"/>
      <c r="AD436" s="83"/>
    </row>
    <row r="437" spans="1:30" ht="65.25" thickBot="1">
      <c r="A437" s="84"/>
      <c r="B437" s="25" t="s">
        <v>29</v>
      </c>
      <c r="C437" s="84">
        <f>C435+C436</f>
        <v>0</v>
      </c>
      <c r="D437" s="84">
        <f aca="true" t="shared" si="75" ref="D437:AD437">D435+D436</f>
        <v>0</v>
      </c>
      <c r="E437" s="84">
        <f t="shared" si="75"/>
        <v>0</v>
      </c>
      <c r="F437" s="84">
        <f t="shared" si="75"/>
        <v>0</v>
      </c>
      <c r="G437" s="84">
        <f t="shared" si="75"/>
        <v>0</v>
      </c>
      <c r="H437" s="84">
        <f t="shared" si="75"/>
        <v>0</v>
      </c>
      <c r="I437" s="84">
        <f t="shared" si="75"/>
        <v>0</v>
      </c>
      <c r="J437" s="84">
        <f t="shared" si="75"/>
        <v>0</v>
      </c>
      <c r="K437" s="84">
        <f t="shared" si="75"/>
        <v>0</v>
      </c>
      <c r="L437" s="84">
        <f t="shared" si="75"/>
        <v>0</v>
      </c>
      <c r="M437" s="84">
        <f t="shared" si="75"/>
        <v>0</v>
      </c>
      <c r="N437" s="84">
        <f t="shared" si="75"/>
        <v>30</v>
      </c>
      <c r="O437" s="84">
        <f t="shared" si="75"/>
        <v>0</v>
      </c>
      <c r="P437" s="84">
        <f t="shared" si="75"/>
        <v>0</v>
      </c>
      <c r="Q437" s="84">
        <f t="shared" si="75"/>
        <v>0</v>
      </c>
      <c r="R437" s="84">
        <f t="shared" si="75"/>
        <v>0</v>
      </c>
      <c r="S437" s="84">
        <f t="shared" si="75"/>
        <v>155</v>
      </c>
      <c r="T437" s="84">
        <f t="shared" si="75"/>
        <v>0</v>
      </c>
      <c r="U437" s="84">
        <f t="shared" si="75"/>
        <v>0</v>
      </c>
      <c r="V437" s="84">
        <f t="shared" si="75"/>
        <v>0</v>
      </c>
      <c r="W437" s="84">
        <f t="shared" si="75"/>
        <v>0</v>
      </c>
      <c r="X437" s="84">
        <f t="shared" si="75"/>
        <v>0</v>
      </c>
      <c r="Y437" s="84">
        <f t="shared" si="75"/>
        <v>0</v>
      </c>
      <c r="Z437" s="84">
        <f t="shared" si="75"/>
        <v>0</v>
      </c>
      <c r="AA437" s="84">
        <f t="shared" si="75"/>
        <v>0</v>
      </c>
      <c r="AB437" s="84">
        <f t="shared" si="75"/>
        <v>0</v>
      </c>
      <c r="AC437" s="84">
        <f t="shared" si="75"/>
        <v>0</v>
      </c>
      <c r="AD437" s="84">
        <f t="shared" si="75"/>
        <v>0</v>
      </c>
    </row>
    <row r="438" spans="1:30" ht="65.25" thickBot="1">
      <c r="A438" s="155" t="s">
        <v>144</v>
      </c>
      <c r="B438" s="156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7"/>
    </row>
    <row r="439" spans="1:30" ht="129.75" thickBot="1">
      <c r="A439" s="94">
        <v>49</v>
      </c>
      <c r="B439" s="75" t="s">
        <v>166</v>
      </c>
      <c r="C439" s="95"/>
      <c r="D439" s="96"/>
      <c r="E439" s="96"/>
      <c r="F439" s="96"/>
      <c r="G439" s="96">
        <v>11</v>
      </c>
      <c r="H439" s="96"/>
      <c r="I439" s="106"/>
      <c r="J439" s="106"/>
      <c r="K439" s="106"/>
      <c r="L439" s="106"/>
      <c r="M439" s="106"/>
      <c r="N439" s="106"/>
      <c r="O439" s="106">
        <v>11</v>
      </c>
      <c r="P439" s="106">
        <v>4</v>
      </c>
      <c r="Q439" s="106"/>
      <c r="R439" s="106">
        <v>14</v>
      </c>
      <c r="S439" s="106">
        <v>25</v>
      </c>
      <c r="T439" s="106">
        <v>121</v>
      </c>
      <c r="U439" s="106"/>
      <c r="V439" s="106"/>
      <c r="W439" s="106"/>
      <c r="X439" s="106"/>
      <c r="Y439" s="106"/>
      <c r="Z439" s="106"/>
      <c r="AA439" s="106"/>
      <c r="AB439" s="106"/>
      <c r="AC439" s="107"/>
      <c r="AD439" s="95"/>
    </row>
    <row r="440" spans="1:30" ht="65.25" thickBot="1">
      <c r="A440" s="84">
        <v>13</v>
      </c>
      <c r="B440" s="23" t="s">
        <v>7</v>
      </c>
      <c r="C440" s="84"/>
      <c r="D440" s="85"/>
      <c r="E440" s="85"/>
      <c r="F440" s="85"/>
      <c r="G440" s="85"/>
      <c r="H440" s="86"/>
      <c r="I440" s="86"/>
      <c r="J440" s="86"/>
      <c r="K440" s="86"/>
      <c r="L440" s="86"/>
      <c r="M440" s="86"/>
      <c r="N440" s="87"/>
      <c r="O440" s="84">
        <v>10</v>
      </c>
      <c r="P440" s="87"/>
      <c r="Q440" s="84"/>
      <c r="R440" s="87"/>
      <c r="S440" s="84"/>
      <c r="T440" s="84"/>
      <c r="U440" s="87"/>
      <c r="V440" s="84"/>
      <c r="W440" s="87"/>
      <c r="X440" s="84"/>
      <c r="Y440" s="84"/>
      <c r="Z440" s="87"/>
      <c r="AA440" s="84">
        <v>0.48</v>
      </c>
      <c r="AB440" s="84"/>
      <c r="AC440" s="90"/>
      <c r="AD440" s="83"/>
    </row>
    <row r="441" spans="1:30" ht="90.75" customHeight="1" thickBot="1">
      <c r="A441" s="83">
        <v>69</v>
      </c>
      <c r="B441" s="22" t="s">
        <v>106</v>
      </c>
      <c r="C441" s="84"/>
      <c r="D441" s="86"/>
      <c r="E441" s="86"/>
      <c r="F441" s="86"/>
      <c r="G441" s="86"/>
      <c r="H441" s="86"/>
      <c r="I441" s="86"/>
      <c r="J441" s="86"/>
      <c r="K441" s="86"/>
      <c r="L441" s="86">
        <v>85</v>
      </c>
      <c r="M441" s="8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7"/>
      <c r="AD441" s="84"/>
    </row>
    <row r="442" spans="1:30" ht="76.5" customHeight="1" thickBot="1">
      <c r="A442" s="83"/>
      <c r="B442" s="22" t="s">
        <v>6</v>
      </c>
      <c r="C442" s="84">
        <f>C439+C440+C441</f>
        <v>0</v>
      </c>
      <c r="D442" s="84">
        <f aca="true" t="shared" si="76" ref="D442:AD442">D439+D440+D441</f>
        <v>0</v>
      </c>
      <c r="E442" s="84">
        <f t="shared" si="76"/>
        <v>0</v>
      </c>
      <c r="F442" s="84">
        <f t="shared" si="76"/>
        <v>0</v>
      </c>
      <c r="G442" s="84">
        <f t="shared" si="76"/>
        <v>11</v>
      </c>
      <c r="H442" s="84">
        <f t="shared" si="76"/>
        <v>0</v>
      </c>
      <c r="I442" s="84">
        <f t="shared" si="76"/>
        <v>0</v>
      </c>
      <c r="J442" s="84">
        <f t="shared" si="76"/>
        <v>0</v>
      </c>
      <c r="K442" s="84">
        <f t="shared" si="76"/>
        <v>0</v>
      </c>
      <c r="L442" s="84">
        <f t="shared" si="76"/>
        <v>85</v>
      </c>
      <c r="M442" s="84">
        <f t="shared" si="76"/>
        <v>0</v>
      </c>
      <c r="N442" s="84">
        <f t="shared" si="76"/>
        <v>0</v>
      </c>
      <c r="O442" s="84">
        <f t="shared" si="76"/>
        <v>21</v>
      </c>
      <c r="P442" s="84">
        <f t="shared" si="76"/>
        <v>4</v>
      </c>
      <c r="Q442" s="84">
        <f t="shared" si="76"/>
        <v>0</v>
      </c>
      <c r="R442" s="84">
        <f t="shared" si="76"/>
        <v>14</v>
      </c>
      <c r="S442" s="84">
        <f t="shared" si="76"/>
        <v>25</v>
      </c>
      <c r="T442" s="84">
        <f t="shared" si="76"/>
        <v>121</v>
      </c>
      <c r="U442" s="84">
        <f t="shared" si="76"/>
        <v>0</v>
      </c>
      <c r="V442" s="84">
        <f t="shared" si="76"/>
        <v>0</v>
      </c>
      <c r="W442" s="84">
        <f t="shared" si="76"/>
        <v>0</v>
      </c>
      <c r="X442" s="84">
        <f t="shared" si="76"/>
        <v>0</v>
      </c>
      <c r="Y442" s="84">
        <f t="shared" si="76"/>
        <v>0</v>
      </c>
      <c r="Z442" s="84">
        <f t="shared" si="76"/>
        <v>0</v>
      </c>
      <c r="AA442" s="84">
        <f t="shared" si="76"/>
        <v>0.48</v>
      </c>
      <c r="AB442" s="84">
        <f t="shared" si="76"/>
        <v>0</v>
      </c>
      <c r="AC442" s="84">
        <f t="shared" si="76"/>
        <v>0</v>
      </c>
      <c r="AD442" s="84">
        <f t="shared" si="76"/>
        <v>0</v>
      </c>
    </row>
    <row r="443" spans="1:30" ht="124.5" customHeight="1" thickBot="1">
      <c r="A443" s="145"/>
      <c r="B443" s="22" t="s">
        <v>148</v>
      </c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8"/>
      <c r="AD443" s="84"/>
    </row>
    <row r="444" spans="1:30" ht="110.25" customHeight="1" thickBot="1">
      <c r="A444" s="83"/>
      <c r="B444" s="93" t="s">
        <v>10</v>
      </c>
      <c r="C444" s="84">
        <f aca="true" t="shared" si="77" ref="C444:AD444">C422+C425+C433+C437+C442</f>
        <v>50</v>
      </c>
      <c r="D444" s="84">
        <f t="shared" si="77"/>
        <v>40</v>
      </c>
      <c r="E444" s="84">
        <f t="shared" si="77"/>
        <v>15</v>
      </c>
      <c r="F444" s="84">
        <f t="shared" si="77"/>
        <v>6.8</v>
      </c>
      <c r="G444" s="84">
        <f t="shared" si="77"/>
        <v>34</v>
      </c>
      <c r="H444" s="84">
        <f t="shared" si="77"/>
        <v>0</v>
      </c>
      <c r="I444" s="84">
        <f t="shared" si="77"/>
        <v>120</v>
      </c>
      <c r="J444" s="84">
        <f t="shared" si="77"/>
        <v>80.2</v>
      </c>
      <c r="K444" s="84">
        <f t="shared" si="77"/>
        <v>100</v>
      </c>
      <c r="L444" s="84">
        <f t="shared" si="77"/>
        <v>85</v>
      </c>
      <c r="M444" s="84">
        <f t="shared" si="77"/>
        <v>0</v>
      </c>
      <c r="N444" s="84">
        <f t="shared" si="77"/>
        <v>30</v>
      </c>
      <c r="O444" s="84">
        <f t="shared" si="77"/>
        <v>40</v>
      </c>
      <c r="P444" s="84">
        <f t="shared" si="77"/>
        <v>13</v>
      </c>
      <c r="Q444" s="84">
        <f t="shared" si="77"/>
        <v>8</v>
      </c>
      <c r="R444" s="84">
        <f t="shared" si="77"/>
        <v>17</v>
      </c>
      <c r="S444" s="84">
        <f t="shared" si="77"/>
        <v>383</v>
      </c>
      <c r="T444" s="84">
        <f t="shared" si="77"/>
        <v>121</v>
      </c>
      <c r="U444" s="84">
        <f t="shared" si="77"/>
        <v>0</v>
      </c>
      <c r="V444" s="84">
        <f t="shared" si="77"/>
        <v>47</v>
      </c>
      <c r="W444" s="84">
        <f t="shared" si="77"/>
        <v>19</v>
      </c>
      <c r="X444" s="84">
        <f t="shared" si="77"/>
        <v>0</v>
      </c>
      <c r="Y444" s="84">
        <f t="shared" si="77"/>
        <v>0</v>
      </c>
      <c r="Z444" s="84">
        <f t="shared" si="77"/>
        <v>0</v>
      </c>
      <c r="AA444" s="84">
        <f t="shared" si="77"/>
        <v>0.48</v>
      </c>
      <c r="AB444" s="84">
        <f t="shared" si="77"/>
        <v>0</v>
      </c>
      <c r="AC444" s="88">
        <f t="shared" si="77"/>
        <v>1.1</v>
      </c>
      <c r="AD444" s="84">
        <f t="shared" si="77"/>
        <v>0</v>
      </c>
    </row>
    <row r="445" spans="1:30" ht="65.25" thickBot="1">
      <c r="A445" s="150" t="s">
        <v>62</v>
      </c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2"/>
    </row>
    <row r="446" spans="1:30" ht="85.5" customHeight="1" thickBot="1">
      <c r="A446" s="150" t="s">
        <v>90</v>
      </c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2"/>
    </row>
    <row r="447" spans="1:30" ht="46.5" customHeight="1">
      <c r="A447" s="166" t="s">
        <v>30</v>
      </c>
      <c r="B447" s="168" t="s">
        <v>23</v>
      </c>
      <c r="C447" s="153" t="s">
        <v>116</v>
      </c>
      <c r="D447" s="153" t="s">
        <v>117</v>
      </c>
      <c r="E447" s="153" t="s">
        <v>118</v>
      </c>
      <c r="F447" s="153" t="s">
        <v>119</v>
      </c>
      <c r="G447" s="153" t="s">
        <v>120</v>
      </c>
      <c r="H447" s="153" t="s">
        <v>121</v>
      </c>
      <c r="I447" s="153" t="s">
        <v>110</v>
      </c>
      <c r="J447" s="153" t="s">
        <v>257</v>
      </c>
      <c r="K447" s="140"/>
      <c r="L447" s="153" t="s">
        <v>142</v>
      </c>
      <c r="M447" s="153" t="s">
        <v>79</v>
      </c>
      <c r="N447" s="153" t="s">
        <v>123</v>
      </c>
      <c r="O447" s="153" t="s">
        <v>80</v>
      </c>
      <c r="P447" s="153" t="s">
        <v>124</v>
      </c>
      <c r="Q447" s="153" t="s">
        <v>81</v>
      </c>
      <c r="R447" s="153" t="s">
        <v>125</v>
      </c>
      <c r="S447" s="153" t="s">
        <v>126</v>
      </c>
      <c r="T447" s="153" t="s">
        <v>127</v>
      </c>
      <c r="U447" s="140"/>
      <c r="V447" s="153" t="s">
        <v>113</v>
      </c>
      <c r="W447" s="153" t="s">
        <v>129</v>
      </c>
      <c r="X447" s="153" t="s">
        <v>84</v>
      </c>
      <c r="Y447" s="153" t="s">
        <v>82</v>
      </c>
      <c r="Z447" s="153" t="s">
        <v>83</v>
      </c>
      <c r="AA447" s="153" t="s">
        <v>85</v>
      </c>
      <c r="AB447" s="140"/>
      <c r="AC447" s="158" t="s">
        <v>78</v>
      </c>
      <c r="AD447" s="153" t="s">
        <v>138</v>
      </c>
    </row>
    <row r="448" spans="1:30" ht="406.5" customHeight="1" thickBot="1">
      <c r="A448" s="167"/>
      <c r="B448" s="169"/>
      <c r="C448" s="154"/>
      <c r="D448" s="154"/>
      <c r="E448" s="154"/>
      <c r="F448" s="154"/>
      <c r="G448" s="154"/>
      <c r="H448" s="154"/>
      <c r="I448" s="154"/>
      <c r="J448" s="154"/>
      <c r="K448" s="141" t="s">
        <v>122</v>
      </c>
      <c r="L448" s="154"/>
      <c r="M448" s="154"/>
      <c r="N448" s="154"/>
      <c r="O448" s="154"/>
      <c r="P448" s="154"/>
      <c r="Q448" s="154"/>
      <c r="R448" s="154"/>
      <c r="S448" s="154"/>
      <c r="T448" s="154"/>
      <c r="U448" s="141" t="s">
        <v>128</v>
      </c>
      <c r="V448" s="154"/>
      <c r="W448" s="154"/>
      <c r="X448" s="154"/>
      <c r="Y448" s="154"/>
      <c r="Z448" s="154"/>
      <c r="AA448" s="154"/>
      <c r="AB448" s="141" t="s">
        <v>77</v>
      </c>
      <c r="AC448" s="159"/>
      <c r="AD448" s="154"/>
    </row>
    <row r="449" spans="1:30" ht="109.5" customHeight="1" thickBot="1">
      <c r="A449" s="145">
        <v>1</v>
      </c>
      <c r="B449" s="79">
        <v>2</v>
      </c>
      <c r="C449" s="80" t="s">
        <v>54</v>
      </c>
      <c r="D449" s="81">
        <v>4</v>
      </c>
      <c r="E449" s="80">
        <v>5</v>
      </c>
      <c r="F449" s="80">
        <v>6</v>
      </c>
      <c r="G449" s="80">
        <v>7</v>
      </c>
      <c r="H449" s="80">
        <v>8</v>
      </c>
      <c r="I449" s="80" t="s">
        <v>55</v>
      </c>
      <c r="J449" s="81">
        <v>10</v>
      </c>
      <c r="K449" s="80">
        <v>11</v>
      </c>
      <c r="L449" s="80">
        <v>12</v>
      </c>
      <c r="M449" s="80">
        <v>13</v>
      </c>
      <c r="N449" s="80">
        <v>14</v>
      </c>
      <c r="O449" s="80">
        <v>15</v>
      </c>
      <c r="P449" s="143">
        <v>16</v>
      </c>
      <c r="Q449" s="80">
        <v>17</v>
      </c>
      <c r="R449" s="143">
        <v>18</v>
      </c>
      <c r="S449" s="80">
        <v>19</v>
      </c>
      <c r="T449" s="143">
        <v>20</v>
      </c>
      <c r="U449" s="143">
        <v>21</v>
      </c>
      <c r="V449" s="80">
        <v>22</v>
      </c>
      <c r="W449" s="80">
        <v>23</v>
      </c>
      <c r="X449" s="143">
        <v>24</v>
      </c>
      <c r="Y449" s="80">
        <v>25</v>
      </c>
      <c r="Z449" s="80">
        <v>26</v>
      </c>
      <c r="AA449" s="80">
        <v>27</v>
      </c>
      <c r="AB449" s="143">
        <v>28</v>
      </c>
      <c r="AC449" s="142">
        <v>29</v>
      </c>
      <c r="AD449" s="80">
        <v>31</v>
      </c>
    </row>
    <row r="450" spans="1:30" ht="65.25" thickBot="1">
      <c r="A450" s="150" t="s">
        <v>5</v>
      </c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52"/>
    </row>
    <row r="451" spans="1:30" ht="129.75" thickBot="1">
      <c r="A451" s="83">
        <v>1</v>
      </c>
      <c r="B451" s="25" t="s">
        <v>42</v>
      </c>
      <c r="C451" s="84"/>
      <c r="D451" s="86"/>
      <c r="E451" s="86"/>
      <c r="F451" s="86"/>
      <c r="G451" s="86">
        <v>9</v>
      </c>
      <c r="H451" s="86"/>
      <c r="I451" s="86"/>
      <c r="J451" s="86"/>
      <c r="K451" s="86"/>
      <c r="L451" s="86"/>
      <c r="M451" s="86"/>
      <c r="N451" s="83"/>
      <c r="O451" s="87">
        <v>4</v>
      </c>
      <c r="P451" s="83">
        <v>1.6</v>
      </c>
      <c r="Q451" s="87"/>
      <c r="R451" s="83"/>
      <c r="S451" s="87">
        <v>135</v>
      </c>
      <c r="T451" s="83"/>
      <c r="U451" s="87"/>
      <c r="V451" s="84"/>
      <c r="W451" s="87"/>
      <c r="X451" s="83"/>
      <c r="Y451" s="87"/>
      <c r="Z451" s="83"/>
      <c r="AA451" s="87"/>
      <c r="AB451" s="84"/>
      <c r="AC451" s="90"/>
      <c r="AD451" s="83"/>
    </row>
    <row r="452" spans="1:30" ht="129.75" thickBot="1">
      <c r="A452" s="83">
        <v>2</v>
      </c>
      <c r="B452" s="22" t="s">
        <v>69</v>
      </c>
      <c r="C452" s="84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3"/>
      <c r="O452" s="84">
        <v>8</v>
      </c>
      <c r="P452" s="83"/>
      <c r="Q452" s="87"/>
      <c r="R452" s="83"/>
      <c r="S452" s="84">
        <v>90</v>
      </c>
      <c r="T452" s="83"/>
      <c r="U452" s="87"/>
      <c r="V452" s="83"/>
      <c r="W452" s="87"/>
      <c r="X452" s="83"/>
      <c r="Y452" s="87"/>
      <c r="Z452" s="83"/>
      <c r="AA452" s="87"/>
      <c r="AB452" s="83">
        <v>2</v>
      </c>
      <c r="AC452" s="90"/>
      <c r="AD452" s="84"/>
    </row>
    <row r="453" spans="1:30" ht="65.25" thickBot="1">
      <c r="A453" s="83">
        <v>16</v>
      </c>
      <c r="B453" s="22" t="s">
        <v>36</v>
      </c>
      <c r="C453" s="86">
        <v>30</v>
      </c>
      <c r="D453" s="85"/>
      <c r="E453" s="85"/>
      <c r="F453" s="85"/>
      <c r="G453" s="85"/>
      <c r="H453" s="86"/>
      <c r="I453" s="86"/>
      <c r="J453" s="86"/>
      <c r="K453" s="86"/>
      <c r="L453" s="86"/>
      <c r="M453" s="86"/>
      <c r="N453" s="87"/>
      <c r="O453" s="84"/>
      <c r="P453" s="84">
        <v>5</v>
      </c>
      <c r="Q453" s="84"/>
      <c r="R453" s="87"/>
      <c r="S453" s="84"/>
      <c r="T453" s="87"/>
      <c r="U453" s="83"/>
      <c r="V453" s="84"/>
      <c r="W453" s="83"/>
      <c r="X453" s="87"/>
      <c r="Y453" s="84"/>
      <c r="Z453" s="84"/>
      <c r="AA453" s="87"/>
      <c r="AB453" s="83"/>
      <c r="AC453" s="88"/>
      <c r="AD453" s="84"/>
    </row>
    <row r="454" spans="1:30" ht="65.25" thickBot="1">
      <c r="A454" s="83"/>
      <c r="B454" s="22" t="s">
        <v>6</v>
      </c>
      <c r="C454" s="84">
        <f>SUM(C451+C452+C453)</f>
        <v>30</v>
      </c>
      <c r="D454" s="84">
        <f aca="true" t="shared" si="78" ref="D454:AD454">SUM(D451+D452+D453)</f>
        <v>0</v>
      </c>
      <c r="E454" s="84">
        <f t="shared" si="78"/>
        <v>0</v>
      </c>
      <c r="F454" s="84">
        <f t="shared" si="78"/>
        <v>0</v>
      </c>
      <c r="G454" s="84">
        <f t="shared" si="78"/>
        <v>9</v>
      </c>
      <c r="H454" s="84">
        <f t="shared" si="78"/>
        <v>0</v>
      </c>
      <c r="I454" s="84">
        <f t="shared" si="78"/>
        <v>0</v>
      </c>
      <c r="J454" s="84">
        <f t="shared" si="78"/>
        <v>0</v>
      </c>
      <c r="K454" s="84">
        <f t="shared" si="78"/>
        <v>0</v>
      </c>
      <c r="L454" s="84">
        <f t="shared" si="78"/>
        <v>0</v>
      </c>
      <c r="M454" s="84">
        <f t="shared" si="78"/>
        <v>0</v>
      </c>
      <c r="N454" s="84">
        <f t="shared" si="78"/>
        <v>0</v>
      </c>
      <c r="O454" s="84">
        <f t="shared" si="78"/>
        <v>12</v>
      </c>
      <c r="P454" s="84">
        <f t="shared" si="78"/>
        <v>6.6</v>
      </c>
      <c r="Q454" s="84">
        <f t="shared" si="78"/>
        <v>0</v>
      </c>
      <c r="R454" s="84">
        <f t="shared" si="78"/>
        <v>0</v>
      </c>
      <c r="S454" s="84">
        <f t="shared" si="78"/>
        <v>225</v>
      </c>
      <c r="T454" s="84">
        <f t="shared" si="78"/>
        <v>0</v>
      </c>
      <c r="U454" s="84">
        <f t="shared" si="78"/>
        <v>0</v>
      </c>
      <c r="V454" s="84">
        <f t="shared" si="78"/>
        <v>0</v>
      </c>
      <c r="W454" s="84">
        <f t="shared" si="78"/>
        <v>0</v>
      </c>
      <c r="X454" s="84">
        <f t="shared" si="78"/>
        <v>0</v>
      </c>
      <c r="Y454" s="84">
        <f t="shared" si="78"/>
        <v>0</v>
      </c>
      <c r="Z454" s="84">
        <f t="shared" si="78"/>
        <v>0</v>
      </c>
      <c r="AA454" s="88">
        <f t="shared" si="78"/>
        <v>0</v>
      </c>
      <c r="AB454" s="84">
        <f t="shared" si="78"/>
        <v>2</v>
      </c>
      <c r="AC454" s="91">
        <f t="shared" si="78"/>
        <v>0</v>
      </c>
      <c r="AD454" s="84">
        <f t="shared" si="78"/>
        <v>0</v>
      </c>
    </row>
    <row r="455" spans="1:30" ht="65.25" thickBot="1">
      <c r="A455" s="155" t="s">
        <v>53</v>
      </c>
      <c r="B455" s="156"/>
      <c r="C455" s="156"/>
      <c r="D455" s="156"/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7"/>
    </row>
    <row r="456" spans="1:30" ht="65.25" thickBot="1">
      <c r="A456" s="83" t="s">
        <v>32</v>
      </c>
      <c r="B456" s="25" t="s">
        <v>182</v>
      </c>
      <c r="C456" s="84"/>
      <c r="D456" s="86"/>
      <c r="E456" s="86"/>
      <c r="F456" s="86"/>
      <c r="G456" s="86"/>
      <c r="H456" s="86"/>
      <c r="I456" s="86"/>
      <c r="J456" s="86"/>
      <c r="K456" s="86">
        <v>100</v>
      </c>
      <c r="L456" s="86"/>
      <c r="M456" s="86"/>
      <c r="N456" s="87"/>
      <c r="O456" s="84"/>
      <c r="P456" s="87"/>
      <c r="Q456" s="84"/>
      <c r="R456" s="87"/>
      <c r="S456" s="84"/>
      <c r="T456" s="87"/>
      <c r="U456" s="84"/>
      <c r="V456" s="84"/>
      <c r="W456" s="87"/>
      <c r="X456" s="84"/>
      <c r="Y456" s="84"/>
      <c r="Z456" s="87"/>
      <c r="AA456" s="84"/>
      <c r="AB456" s="87"/>
      <c r="AC456" s="88"/>
      <c r="AD456" s="83"/>
    </row>
    <row r="457" spans="1:30" ht="65.25" thickBot="1">
      <c r="A457" s="83"/>
      <c r="B457" s="22" t="s">
        <v>29</v>
      </c>
      <c r="C457" s="86">
        <f>SUM(C456)</f>
        <v>0</v>
      </c>
      <c r="D457" s="86">
        <f>SUM(D456)</f>
        <v>0</v>
      </c>
      <c r="E457" s="86">
        <f aca="true" t="shared" si="79" ref="E457:AC457">SUM(E456)</f>
        <v>0</v>
      </c>
      <c r="F457" s="86">
        <f t="shared" si="79"/>
        <v>0</v>
      </c>
      <c r="G457" s="86">
        <f t="shared" si="79"/>
        <v>0</v>
      </c>
      <c r="H457" s="86">
        <f t="shared" si="79"/>
        <v>0</v>
      </c>
      <c r="I457" s="86">
        <f t="shared" si="79"/>
        <v>0</v>
      </c>
      <c r="J457" s="86">
        <f t="shared" si="79"/>
        <v>0</v>
      </c>
      <c r="K457" s="86">
        <f t="shared" si="79"/>
        <v>100</v>
      </c>
      <c r="L457" s="86">
        <f t="shared" si="79"/>
        <v>0</v>
      </c>
      <c r="M457" s="86">
        <f t="shared" si="79"/>
        <v>0</v>
      </c>
      <c r="N457" s="86">
        <f t="shared" si="79"/>
        <v>0</v>
      </c>
      <c r="O457" s="86">
        <f t="shared" si="79"/>
        <v>0</v>
      </c>
      <c r="P457" s="86">
        <f t="shared" si="79"/>
        <v>0</v>
      </c>
      <c r="Q457" s="86">
        <f t="shared" si="79"/>
        <v>0</v>
      </c>
      <c r="R457" s="86">
        <f t="shared" si="79"/>
        <v>0</v>
      </c>
      <c r="S457" s="86">
        <f t="shared" si="79"/>
        <v>0</v>
      </c>
      <c r="T457" s="86">
        <f t="shared" si="79"/>
        <v>0</v>
      </c>
      <c r="U457" s="86">
        <f t="shared" si="79"/>
        <v>0</v>
      </c>
      <c r="V457" s="86">
        <f t="shared" si="79"/>
        <v>0</v>
      </c>
      <c r="W457" s="86">
        <f t="shared" si="79"/>
        <v>0</v>
      </c>
      <c r="X457" s="86">
        <f t="shared" si="79"/>
        <v>0</v>
      </c>
      <c r="Y457" s="86">
        <f t="shared" si="79"/>
        <v>0</v>
      </c>
      <c r="Z457" s="86">
        <f t="shared" si="79"/>
        <v>0</v>
      </c>
      <c r="AA457" s="86">
        <f t="shared" si="79"/>
        <v>0</v>
      </c>
      <c r="AB457" s="86">
        <f t="shared" si="79"/>
        <v>0</v>
      </c>
      <c r="AC457" s="87">
        <f t="shared" si="79"/>
        <v>0</v>
      </c>
      <c r="AD457" s="83">
        <f>SUM(AD456)</f>
        <v>0</v>
      </c>
    </row>
    <row r="458" spans="1:30" ht="65.25" thickBot="1">
      <c r="A458" s="155" t="s">
        <v>31</v>
      </c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7"/>
    </row>
    <row r="459" spans="1:30" ht="65.25" thickBot="1">
      <c r="A459" s="84">
        <v>56</v>
      </c>
      <c r="B459" s="22" t="s">
        <v>228</v>
      </c>
      <c r="C459" s="84"/>
      <c r="D459" s="86"/>
      <c r="E459" s="86"/>
      <c r="F459" s="86"/>
      <c r="G459" s="86"/>
      <c r="H459" s="86"/>
      <c r="I459" s="86"/>
      <c r="J459" s="86">
        <v>28.8</v>
      </c>
      <c r="K459" s="86"/>
      <c r="L459" s="86"/>
      <c r="M459" s="86"/>
      <c r="N459" s="87"/>
      <c r="O459" s="83"/>
      <c r="P459" s="87"/>
      <c r="Q459" s="83">
        <v>3</v>
      </c>
      <c r="R459" s="87"/>
      <c r="S459" s="83"/>
      <c r="T459" s="87"/>
      <c r="U459" s="84"/>
      <c r="V459" s="83"/>
      <c r="W459" s="87"/>
      <c r="X459" s="84"/>
      <c r="Y459" s="83"/>
      <c r="Z459" s="87"/>
      <c r="AA459" s="83"/>
      <c r="AB459" s="84"/>
      <c r="AC459" s="88"/>
      <c r="AD459" s="83"/>
    </row>
    <row r="460" spans="1:30" ht="129.75" thickBot="1">
      <c r="A460" s="83">
        <v>92</v>
      </c>
      <c r="B460" s="22" t="s">
        <v>238</v>
      </c>
      <c r="C460" s="84"/>
      <c r="D460" s="85"/>
      <c r="E460" s="85"/>
      <c r="F460" s="85"/>
      <c r="G460" s="85"/>
      <c r="H460" s="86"/>
      <c r="I460" s="86">
        <v>75</v>
      </c>
      <c r="J460" s="86">
        <v>17.2</v>
      </c>
      <c r="K460" s="86"/>
      <c r="L460" s="86"/>
      <c r="M460" s="86"/>
      <c r="N460" s="87"/>
      <c r="O460" s="84"/>
      <c r="P460" s="87">
        <v>2</v>
      </c>
      <c r="Q460" s="84"/>
      <c r="R460" s="87">
        <v>20</v>
      </c>
      <c r="S460" s="84"/>
      <c r="T460" s="87"/>
      <c r="U460" s="83"/>
      <c r="V460" s="83"/>
      <c r="W460" s="87">
        <v>19</v>
      </c>
      <c r="X460" s="83"/>
      <c r="Y460" s="84"/>
      <c r="Z460" s="84"/>
      <c r="AA460" s="87"/>
      <c r="AB460" s="83"/>
      <c r="AC460" s="88"/>
      <c r="AD460" s="84"/>
    </row>
    <row r="461" spans="1:30" ht="65.25" thickBot="1">
      <c r="A461" s="83">
        <v>63</v>
      </c>
      <c r="B461" s="22" t="s">
        <v>147</v>
      </c>
      <c r="C461" s="84"/>
      <c r="D461" s="86"/>
      <c r="E461" s="86"/>
      <c r="F461" s="86"/>
      <c r="G461" s="86"/>
      <c r="H461" s="86"/>
      <c r="I461" s="86"/>
      <c r="J461" s="86">
        <v>72</v>
      </c>
      <c r="K461" s="86"/>
      <c r="L461" s="86"/>
      <c r="M461" s="86"/>
      <c r="N461" s="86"/>
      <c r="O461" s="86"/>
      <c r="P461" s="86">
        <v>5</v>
      </c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7"/>
      <c r="AD461" s="83"/>
    </row>
    <row r="462" spans="1:30" ht="129.75" thickBot="1">
      <c r="A462" s="83">
        <v>6</v>
      </c>
      <c r="B462" s="22" t="s">
        <v>74</v>
      </c>
      <c r="C462" s="84">
        <v>12</v>
      </c>
      <c r="D462" s="86"/>
      <c r="E462" s="86"/>
      <c r="F462" s="86"/>
      <c r="G462" s="86"/>
      <c r="H462" s="86"/>
      <c r="I462" s="86"/>
      <c r="J462" s="86">
        <v>5</v>
      </c>
      <c r="K462" s="86"/>
      <c r="L462" s="86"/>
      <c r="M462" s="86"/>
      <c r="N462" s="83"/>
      <c r="O462" s="87"/>
      <c r="P462" s="83"/>
      <c r="Q462" s="87">
        <v>4</v>
      </c>
      <c r="R462" s="83">
        <v>4</v>
      </c>
      <c r="S462" s="87">
        <v>12</v>
      </c>
      <c r="T462" s="90"/>
      <c r="U462" s="88"/>
      <c r="V462" s="84">
        <v>41</v>
      </c>
      <c r="W462" s="87"/>
      <c r="X462" s="84"/>
      <c r="Y462" s="87"/>
      <c r="Z462" s="83"/>
      <c r="AA462" s="83"/>
      <c r="AB462" s="87"/>
      <c r="AC462" s="90"/>
      <c r="AD462" s="83"/>
    </row>
    <row r="463" spans="1:30" ht="65.25" thickBot="1">
      <c r="A463" s="83">
        <v>9</v>
      </c>
      <c r="B463" s="22" t="s">
        <v>43</v>
      </c>
      <c r="C463" s="84"/>
      <c r="D463" s="86"/>
      <c r="E463" s="86"/>
      <c r="F463" s="86"/>
      <c r="G463" s="86"/>
      <c r="H463" s="86"/>
      <c r="I463" s="86"/>
      <c r="J463" s="86"/>
      <c r="K463" s="86"/>
      <c r="L463" s="86"/>
      <c r="M463" s="86">
        <v>15</v>
      </c>
      <c r="N463" s="87"/>
      <c r="O463" s="83">
        <v>10</v>
      </c>
      <c r="P463" s="87"/>
      <c r="Q463" s="83"/>
      <c r="R463" s="87"/>
      <c r="S463" s="83"/>
      <c r="T463" s="83"/>
      <c r="U463" s="87"/>
      <c r="V463" s="83"/>
      <c r="W463" s="87"/>
      <c r="X463" s="83"/>
      <c r="Y463" s="83"/>
      <c r="Z463" s="87"/>
      <c r="AA463" s="83"/>
      <c r="AB463" s="87"/>
      <c r="AC463" s="90"/>
      <c r="AD463" s="83"/>
    </row>
    <row r="464" spans="1:30" ht="129.75" thickBot="1">
      <c r="A464" s="83" t="s">
        <v>32</v>
      </c>
      <c r="B464" s="22" t="s">
        <v>56</v>
      </c>
      <c r="C464" s="84">
        <v>20</v>
      </c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7"/>
      <c r="U464" s="83"/>
      <c r="V464" s="86"/>
      <c r="W464" s="87"/>
      <c r="X464" s="83"/>
      <c r="Y464" s="86"/>
      <c r="Z464" s="86"/>
      <c r="AA464" s="86"/>
      <c r="AB464" s="86"/>
      <c r="AC464" s="87"/>
      <c r="AD464" s="83"/>
    </row>
    <row r="465" spans="1:30" ht="129.75" thickBot="1">
      <c r="A465" s="83" t="s">
        <v>32</v>
      </c>
      <c r="B465" s="22" t="s">
        <v>58</v>
      </c>
      <c r="C465" s="84"/>
      <c r="D465" s="86">
        <v>40</v>
      </c>
      <c r="E465" s="86"/>
      <c r="F465" s="86"/>
      <c r="G465" s="86"/>
      <c r="H465" s="86"/>
      <c r="I465" s="86"/>
      <c r="J465" s="86"/>
      <c r="K465" s="86"/>
      <c r="L465" s="86"/>
      <c r="M465" s="86"/>
      <c r="N465" s="83"/>
      <c r="O465" s="87"/>
      <c r="P465" s="83"/>
      <c r="Q465" s="87"/>
      <c r="R465" s="83"/>
      <c r="S465" s="87"/>
      <c r="T465" s="83"/>
      <c r="U465" s="87"/>
      <c r="V465" s="83"/>
      <c r="W465" s="83"/>
      <c r="X465" s="83"/>
      <c r="Y465" s="87"/>
      <c r="Z465" s="83"/>
      <c r="AA465" s="83"/>
      <c r="AB465" s="87"/>
      <c r="AC465" s="90"/>
      <c r="AD465" s="83"/>
    </row>
    <row r="466" spans="1:30" ht="65.25" thickBot="1">
      <c r="A466" s="83"/>
      <c r="B466" s="22" t="s">
        <v>6</v>
      </c>
      <c r="C466" s="86">
        <f aca="true" t="shared" si="80" ref="C466:AD466">SUM(C459:C465)</f>
        <v>32</v>
      </c>
      <c r="D466" s="86">
        <f t="shared" si="80"/>
        <v>40</v>
      </c>
      <c r="E466" s="86">
        <f t="shared" si="80"/>
        <v>0</v>
      </c>
      <c r="F466" s="86">
        <f t="shared" si="80"/>
        <v>0</v>
      </c>
      <c r="G466" s="86">
        <f t="shared" si="80"/>
        <v>0</v>
      </c>
      <c r="H466" s="86">
        <f t="shared" si="80"/>
        <v>0</v>
      </c>
      <c r="I466" s="86">
        <f t="shared" si="80"/>
        <v>75</v>
      </c>
      <c r="J466" s="86">
        <f t="shared" si="80"/>
        <v>123</v>
      </c>
      <c r="K466" s="86">
        <f t="shared" si="80"/>
        <v>0</v>
      </c>
      <c r="L466" s="86">
        <f t="shared" si="80"/>
        <v>0</v>
      </c>
      <c r="M466" s="86">
        <f t="shared" si="80"/>
        <v>15</v>
      </c>
      <c r="N466" s="86">
        <f t="shared" si="80"/>
        <v>0</v>
      </c>
      <c r="O466" s="86">
        <f t="shared" si="80"/>
        <v>10</v>
      </c>
      <c r="P466" s="86">
        <f t="shared" si="80"/>
        <v>7</v>
      </c>
      <c r="Q466" s="86">
        <f t="shared" si="80"/>
        <v>7</v>
      </c>
      <c r="R466" s="86">
        <f t="shared" si="80"/>
        <v>24</v>
      </c>
      <c r="S466" s="86">
        <f t="shared" si="80"/>
        <v>12</v>
      </c>
      <c r="T466" s="86">
        <f t="shared" si="80"/>
        <v>0</v>
      </c>
      <c r="U466" s="86">
        <f t="shared" si="80"/>
        <v>0</v>
      </c>
      <c r="V466" s="86">
        <f t="shared" si="80"/>
        <v>41</v>
      </c>
      <c r="W466" s="86">
        <f t="shared" si="80"/>
        <v>19</v>
      </c>
      <c r="X466" s="86">
        <f t="shared" si="80"/>
        <v>0</v>
      </c>
      <c r="Y466" s="86">
        <f t="shared" si="80"/>
        <v>0</v>
      </c>
      <c r="Z466" s="86">
        <f t="shared" si="80"/>
        <v>0</v>
      </c>
      <c r="AA466" s="86">
        <f t="shared" si="80"/>
        <v>0</v>
      </c>
      <c r="AB466" s="86">
        <f t="shared" si="80"/>
        <v>0</v>
      </c>
      <c r="AC466" s="87">
        <f t="shared" si="80"/>
        <v>0</v>
      </c>
      <c r="AD466" s="83">
        <f t="shared" si="80"/>
        <v>0</v>
      </c>
    </row>
    <row r="467" spans="1:30" ht="65.25" thickBot="1">
      <c r="A467" s="150" t="s">
        <v>145</v>
      </c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52"/>
    </row>
    <row r="468" spans="1:30" ht="194.25" thickBot="1">
      <c r="A468" s="92">
        <v>21.1</v>
      </c>
      <c r="B468" s="27" t="s">
        <v>172</v>
      </c>
      <c r="C468" s="83"/>
      <c r="D468" s="86"/>
      <c r="E468" s="83"/>
      <c r="F468" s="83"/>
      <c r="G468" s="83"/>
      <c r="H468" s="86"/>
      <c r="I468" s="86"/>
      <c r="J468" s="86"/>
      <c r="K468" s="86"/>
      <c r="L468" s="86"/>
      <c r="M468" s="86"/>
      <c r="N468" s="87"/>
      <c r="O468" s="84"/>
      <c r="P468" s="87"/>
      <c r="Q468" s="84"/>
      <c r="R468" s="87"/>
      <c r="S468" s="84">
        <v>155</v>
      </c>
      <c r="T468" s="87"/>
      <c r="U468" s="84"/>
      <c r="V468" s="84"/>
      <c r="W468" s="87"/>
      <c r="X468" s="84"/>
      <c r="Y468" s="84"/>
      <c r="Z468" s="87"/>
      <c r="AA468" s="84"/>
      <c r="AB468" s="84"/>
      <c r="AC468" s="88"/>
      <c r="AD468" s="83"/>
    </row>
    <row r="469" spans="1:30" ht="258.75" thickBot="1">
      <c r="A469" s="94">
        <v>72</v>
      </c>
      <c r="B469" s="75" t="s">
        <v>167</v>
      </c>
      <c r="C469" s="95"/>
      <c r="D469" s="106"/>
      <c r="E469" s="106">
        <v>41.2</v>
      </c>
      <c r="F469" s="106"/>
      <c r="G469" s="106"/>
      <c r="H469" s="96"/>
      <c r="I469" s="96"/>
      <c r="J469" s="96"/>
      <c r="K469" s="96"/>
      <c r="L469" s="96">
        <v>13.2</v>
      </c>
      <c r="M469" s="96"/>
      <c r="N469" s="96"/>
      <c r="O469" s="96">
        <v>1.7</v>
      </c>
      <c r="P469" s="96">
        <v>3</v>
      </c>
      <c r="Q469" s="96">
        <v>0.9</v>
      </c>
      <c r="R469" s="96">
        <v>2.6</v>
      </c>
      <c r="S469" s="96">
        <v>16</v>
      </c>
      <c r="T469" s="96"/>
      <c r="U469" s="96"/>
      <c r="V469" s="96"/>
      <c r="W469" s="96"/>
      <c r="X469" s="96"/>
      <c r="Y469" s="96"/>
      <c r="Z469" s="96"/>
      <c r="AA469" s="96"/>
      <c r="AB469" s="96"/>
      <c r="AC469" s="98"/>
      <c r="AD469" s="84">
        <v>1</v>
      </c>
    </row>
    <row r="470" spans="1:30" ht="65.25" thickBot="1">
      <c r="A470" s="84"/>
      <c r="B470" s="25" t="s">
        <v>29</v>
      </c>
      <c r="C470" s="84">
        <f aca="true" t="shared" si="81" ref="C470:AD470">C468+C469</f>
        <v>0</v>
      </c>
      <c r="D470" s="84">
        <f t="shared" si="81"/>
        <v>0</v>
      </c>
      <c r="E470" s="84">
        <f t="shared" si="81"/>
        <v>41.2</v>
      </c>
      <c r="F470" s="84">
        <f t="shared" si="81"/>
        <v>0</v>
      </c>
      <c r="G470" s="84">
        <f t="shared" si="81"/>
        <v>0</v>
      </c>
      <c r="H470" s="84">
        <f t="shared" si="81"/>
        <v>0</v>
      </c>
      <c r="I470" s="84">
        <f t="shared" si="81"/>
        <v>0</v>
      </c>
      <c r="J470" s="84">
        <f t="shared" si="81"/>
        <v>0</v>
      </c>
      <c r="K470" s="84">
        <f t="shared" si="81"/>
        <v>0</v>
      </c>
      <c r="L470" s="84">
        <f t="shared" si="81"/>
        <v>13.2</v>
      </c>
      <c r="M470" s="84">
        <f t="shared" si="81"/>
        <v>0</v>
      </c>
      <c r="N470" s="84">
        <f t="shared" si="81"/>
        <v>0</v>
      </c>
      <c r="O470" s="84">
        <f t="shared" si="81"/>
        <v>1.7</v>
      </c>
      <c r="P470" s="84">
        <f t="shared" si="81"/>
        <v>3</v>
      </c>
      <c r="Q470" s="84">
        <f t="shared" si="81"/>
        <v>0.9</v>
      </c>
      <c r="R470" s="84">
        <f t="shared" si="81"/>
        <v>2.6</v>
      </c>
      <c r="S470" s="84">
        <f t="shared" si="81"/>
        <v>171</v>
      </c>
      <c r="T470" s="84">
        <f t="shared" si="81"/>
        <v>0</v>
      </c>
      <c r="U470" s="84">
        <f t="shared" si="81"/>
        <v>0</v>
      </c>
      <c r="V470" s="84">
        <f t="shared" si="81"/>
        <v>0</v>
      </c>
      <c r="W470" s="84">
        <f t="shared" si="81"/>
        <v>0</v>
      </c>
      <c r="X470" s="84">
        <f t="shared" si="81"/>
        <v>0</v>
      </c>
      <c r="Y470" s="84">
        <f t="shared" si="81"/>
        <v>0</v>
      </c>
      <c r="Z470" s="84">
        <f t="shared" si="81"/>
        <v>0</v>
      </c>
      <c r="AA470" s="84">
        <f t="shared" si="81"/>
        <v>0</v>
      </c>
      <c r="AB470" s="84">
        <f t="shared" si="81"/>
        <v>0</v>
      </c>
      <c r="AC470" s="88">
        <f t="shared" si="81"/>
        <v>0</v>
      </c>
      <c r="AD470" s="84">
        <f t="shared" si="81"/>
        <v>1</v>
      </c>
    </row>
    <row r="471" spans="1:30" ht="65.25" thickBot="1">
      <c r="A471" s="155" t="s">
        <v>144</v>
      </c>
      <c r="B471" s="156"/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7"/>
    </row>
    <row r="472" spans="1:30" ht="129.75" thickBot="1">
      <c r="A472" s="84">
        <v>71</v>
      </c>
      <c r="B472" s="25" t="s">
        <v>261</v>
      </c>
      <c r="C472" s="84"/>
      <c r="D472" s="85"/>
      <c r="E472" s="85">
        <v>2</v>
      </c>
      <c r="F472" s="85"/>
      <c r="G472" s="85"/>
      <c r="H472" s="86"/>
      <c r="I472" s="86"/>
      <c r="J472" s="86">
        <v>30</v>
      </c>
      <c r="K472" s="86"/>
      <c r="L472" s="86"/>
      <c r="M472" s="86"/>
      <c r="N472" s="86"/>
      <c r="O472" s="86"/>
      <c r="P472" s="86">
        <v>2</v>
      </c>
      <c r="Q472" s="86"/>
      <c r="R472" s="86"/>
      <c r="S472" s="86">
        <v>25</v>
      </c>
      <c r="T472" s="87"/>
      <c r="U472" s="84"/>
      <c r="V472" s="87"/>
      <c r="W472" s="84"/>
      <c r="X472" s="86">
        <v>97</v>
      </c>
      <c r="Y472" s="86"/>
      <c r="Z472" s="86"/>
      <c r="AA472" s="86"/>
      <c r="AB472" s="86"/>
      <c r="AC472" s="87"/>
      <c r="AD472" s="83"/>
    </row>
    <row r="473" spans="1:30" ht="65.25" thickBot="1">
      <c r="A473" s="84">
        <v>79</v>
      </c>
      <c r="B473" s="22" t="s">
        <v>262</v>
      </c>
      <c r="C473" s="84"/>
      <c r="D473" s="86"/>
      <c r="E473" s="86"/>
      <c r="F473" s="86"/>
      <c r="G473" s="86"/>
      <c r="H473" s="86"/>
      <c r="I473" s="86">
        <v>114</v>
      </c>
      <c r="J473" s="86"/>
      <c r="K473" s="86"/>
      <c r="L473" s="86"/>
      <c r="M473" s="86"/>
      <c r="N473" s="87"/>
      <c r="O473" s="83"/>
      <c r="P473" s="87">
        <v>5</v>
      </c>
      <c r="Q473" s="83"/>
      <c r="R473" s="87"/>
      <c r="S473" s="83"/>
      <c r="T473" s="90"/>
      <c r="U473" s="83"/>
      <c r="V473" s="83"/>
      <c r="W473" s="87"/>
      <c r="X473" s="83"/>
      <c r="Y473" s="83"/>
      <c r="Z473" s="87"/>
      <c r="AA473" s="83"/>
      <c r="AB473" s="87"/>
      <c r="AC473" s="90"/>
      <c r="AD473" s="83"/>
    </row>
    <row r="474" spans="1:30" ht="129.75" thickBot="1">
      <c r="A474" s="83" t="s">
        <v>32</v>
      </c>
      <c r="B474" s="22" t="s">
        <v>56</v>
      </c>
      <c r="C474" s="86">
        <v>15</v>
      </c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7"/>
      <c r="U474" s="83"/>
      <c r="V474" s="86"/>
      <c r="W474" s="87"/>
      <c r="X474" s="83"/>
      <c r="Y474" s="86"/>
      <c r="Z474" s="86"/>
      <c r="AA474" s="86"/>
      <c r="AB474" s="86"/>
      <c r="AC474" s="87"/>
      <c r="AD474" s="83"/>
    </row>
    <row r="475" spans="1:30" ht="65.25" thickBot="1">
      <c r="A475" s="89">
        <v>31</v>
      </c>
      <c r="B475" s="23" t="s">
        <v>9</v>
      </c>
      <c r="C475" s="84"/>
      <c r="D475" s="86"/>
      <c r="E475" s="86"/>
      <c r="F475" s="86"/>
      <c r="G475" s="86"/>
      <c r="H475" s="86"/>
      <c r="I475" s="86"/>
      <c r="J475" s="86"/>
      <c r="K475" s="86"/>
      <c r="L475" s="86">
        <v>4</v>
      </c>
      <c r="M475" s="86"/>
      <c r="N475" s="86"/>
      <c r="O475" s="84">
        <v>10</v>
      </c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4">
        <v>0.48</v>
      </c>
      <c r="AB475" s="86"/>
      <c r="AC475" s="87"/>
      <c r="AD475" s="83"/>
    </row>
    <row r="476" spans="1:30" ht="129.75" thickBot="1">
      <c r="A476" s="83">
        <v>69</v>
      </c>
      <c r="B476" s="22" t="s">
        <v>106</v>
      </c>
      <c r="C476" s="84"/>
      <c r="D476" s="85"/>
      <c r="E476" s="85"/>
      <c r="F476" s="85"/>
      <c r="G476" s="85"/>
      <c r="H476" s="86"/>
      <c r="I476" s="86"/>
      <c r="J476" s="86"/>
      <c r="K476" s="86"/>
      <c r="L476" s="86">
        <v>85</v>
      </c>
      <c r="M476" s="8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4"/>
      <c r="AB476" s="86"/>
      <c r="AC476" s="87"/>
      <c r="AD476" s="83"/>
    </row>
    <row r="477" spans="1:30" ht="65.25" thickBot="1">
      <c r="A477" s="83"/>
      <c r="B477" s="22" t="s">
        <v>6</v>
      </c>
      <c r="C477" s="84">
        <f aca="true" t="shared" si="82" ref="C477:AD477">SUM(C472:C476)</f>
        <v>15</v>
      </c>
      <c r="D477" s="84">
        <f t="shared" si="82"/>
        <v>0</v>
      </c>
      <c r="E477" s="84">
        <f t="shared" si="82"/>
        <v>2</v>
      </c>
      <c r="F477" s="84">
        <f t="shared" si="82"/>
        <v>0</v>
      </c>
      <c r="G477" s="84">
        <f t="shared" si="82"/>
        <v>0</v>
      </c>
      <c r="H477" s="84">
        <f t="shared" si="82"/>
        <v>0</v>
      </c>
      <c r="I477" s="84">
        <f t="shared" si="82"/>
        <v>114</v>
      </c>
      <c r="J477" s="84">
        <f t="shared" si="82"/>
        <v>30</v>
      </c>
      <c r="K477" s="84">
        <f t="shared" si="82"/>
        <v>0</v>
      </c>
      <c r="L477" s="84">
        <f t="shared" si="82"/>
        <v>89</v>
      </c>
      <c r="M477" s="84">
        <f t="shared" si="82"/>
        <v>0</v>
      </c>
      <c r="N477" s="84">
        <f t="shared" si="82"/>
        <v>0</v>
      </c>
      <c r="O477" s="84">
        <f t="shared" si="82"/>
        <v>10</v>
      </c>
      <c r="P477" s="84">
        <f t="shared" si="82"/>
        <v>7</v>
      </c>
      <c r="Q477" s="84">
        <f t="shared" si="82"/>
        <v>0</v>
      </c>
      <c r="R477" s="84">
        <f t="shared" si="82"/>
        <v>0</v>
      </c>
      <c r="S477" s="84">
        <f t="shared" si="82"/>
        <v>25</v>
      </c>
      <c r="T477" s="84">
        <f t="shared" si="82"/>
        <v>0</v>
      </c>
      <c r="U477" s="84">
        <f t="shared" si="82"/>
        <v>0</v>
      </c>
      <c r="V477" s="84">
        <f t="shared" si="82"/>
        <v>0</v>
      </c>
      <c r="W477" s="84">
        <f t="shared" si="82"/>
        <v>0</v>
      </c>
      <c r="X477" s="84">
        <f t="shared" si="82"/>
        <v>97</v>
      </c>
      <c r="Y477" s="84">
        <f t="shared" si="82"/>
        <v>0</v>
      </c>
      <c r="Z477" s="84">
        <f t="shared" si="82"/>
        <v>0</v>
      </c>
      <c r="AA477" s="84">
        <f t="shared" si="82"/>
        <v>0.48</v>
      </c>
      <c r="AB477" s="84">
        <f t="shared" si="82"/>
        <v>0</v>
      </c>
      <c r="AC477" s="88">
        <f t="shared" si="82"/>
        <v>0</v>
      </c>
      <c r="AD477" s="84">
        <f t="shared" si="82"/>
        <v>0</v>
      </c>
    </row>
    <row r="478" spans="1:30" ht="194.25" thickBot="1">
      <c r="A478" s="145"/>
      <c r="B478" s="22" t="s">
        <v>148</v>
      </c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8"/>
      <c r="AD478" s="84"/>
    </row>
    <row r="479" spans="1:30" ht="65.25" thickBot="1">
      <c r="A479" s="83"/>
      <c r="B479" s="93" t="s">
        <v>10</v>
      </c>
      <c r="C479" s="84">
        <f aca="true" t="shared" si="83" ref="C479:AD479">C454++C457+C466+C470+C477</f>
        <v>77</v>
      </c>
      <c r="D479" s="84">
        <f t="shared" si="83"/>
        <v>40</v>
      </c>
      <c r="E479" s="84">
        <f t="shared" si="83"/>
        <v>43.2</v>
      </c>
      <c r="F479" s="84">
        <f t="shared" si="83"/>
        <v>0</v>
      </c>
      <c r="G479" s="84">
        <f t="shared" si="83"/>
        <v>9</v>
      </c>
      <c r="H479" s="84">
        <f t="shared" si="83"/>
        <v>0</v>
      </c>
      <c r="I479" s="84">
        <f t="shared" si="83"/>
        <v>189</v>
      </c>
      <c r="J479" s="84">
        <f t="shared" si="83"/>
        <v>153</v>
      </c>
      <c r="K479" s="84">
        <f t="shared" si="83"/>
        <v>100</v>
      </c>
      <c r="L479" s="84">
        <f t="shared" si="83"/>
        <v>102.2</v>
      </c>
      <c r="M479" s="84">
        <f t="shared" si="83"/>
        <v>15</v>
      </c>
      <c r="N479" s="84">
        <f t="shared" si="83"/>
        <v>0</v>
      </c>
      <c r="O479" s="84">
        <f t="shared" si="83"/>
        <v>33.7</v>
      </c>
      <c r="P479" s="84">
        <f t="shared" si="83"/>
        <v>23.6</v>
      </c>
      <c r="Q479" s="84">
        <f t="shared" si="83"/>
        <v>7.9</v>
      </c>
      <c r="R479" s="84">
        <f t="shared" si="83"/>
        <v>26.6</v>
      </c>
      <c r="S479" s="84">
        <f t="shared" si="83"/>
        <v>433</v>
      </c>
      <c r="T479" s="84">
        <f t="shared" si="83"/>
        <v>0</v>
      </c>
      <c r="U479" s="84">
        <f t="shared" si="83"/>
        <v>0</v>
      </c>
      <c r="V479" s="84">
        <f t="shared" si="83"/>
        <v>41</v>
      </c>
      <c r="W479" s="84">
        <f t="shared" si="83"/>
        <v>19</v>
      </c>
      <c r="X479" s="84">
        <f t="shared" si="83"/>
        <v>97</v>
      </c>
      <c r="Y479" s="84">
        <f t="shared" si="83"/>
        <v>0</v>
      </c>
      <c r="Z479" s="84">
        <f t="shared" si="83"/>
        <v>0</v>
      </c>
      <c r="AA479" s="84">
        <f t="shared" si="83"/>
        <v>0.48</v>
      </c>
      <c r="AB479" s="84">
        <f t="shared" si="83"/>
        <v>2</v>
      </c>
      <c r="AC479" s="88">
        <f t="shared" si="83"/>
        <v>0</v>
      </c>
      <c r="AD479" s="84">
        <f t="shared" si="83"/>
        <v>1</v>
      </c>
    </row>
    <row r="480" spans="1:30" ht="65.25" thickBot="1">
      <c r="A480" s="150" t="s">
        <v>62</v>
      </c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52"/>
    </row>
    <row r="481" spans="1:30" ht="65.25" thickBot="1">
      <c r="A481" s="150" t="s">
        <v>91</v>
      </c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52"/>
    </row>
    <row r="482" spans="1:30" ht="46.5" customHeight="1">
      <c r="A482" s="166" t="s">
        <v>30</v>
      </c>
      <c r="B482" s="168" t="s">
        <v>23</v>
      </c>
      <c r="C482" s="153" t="s">
        <v>116</v>
      </c>
      <c r="D482" s="153" t="s">
        <v>117</v>
      </c>
      <c r="E482" s="153" t="s">
        <v>118</v>
      </c>
      <c r="F482" s="153" t="s">
        <v>119</v>
      </c>
      <c r="G482" s="153" t="s">
        <v>120</v>
      </c>
      <c r="H482" s="153" t="s">
        <v>121</v>
      </c>
      <c r="I482" s="153" t="s">
        <v>110</v>
      </c>
      <c r="J482" s="153" t="s">
        <v>257</v>
      </c>
      <c r="K482" s="140"/>
      <c r="L482" s="153" t="s">
        <v>142</v>
      </c>
      <c r="M482" s="153" t="s">
        <v>79</v>
      </c>
      <c r="N482" s="153" t="s">
        <v>123</v>
      </c>
      <c r="O482" s="153" t="s">
        <v>80</v>
      </c>
      <c r="P482" s="153" t="s">
        <v>124</v>
      </c>
      <c r="Q482" s="153" t="s">
        <v>81</v>
      </c>
      <c r="R482" s="153" t="s">
        <v>125</v>
      </c>
      <c r="S482" s="153" t="s">
        <v>126</v>
      </c>
      <c r="T482" s="153" t="s">
        <v>127</v>
      </c>
      <c r="U482" s="140"/>
      <c r="V482" s="153" t="s">
        <v>113</v>
      </c>
      <c r="W482" s="153" t="s">
        <v>129</v>
      </c>
      <c r="X482" s="153" t="s">
        <v>84</v>
      </c>
      <c r="Y482" s="153" t="s">
        <v>82</v>
      </c>
      <c r="Z482" s="153" t="s">
        <v>83</v>
      </c>
      <c r="AA482" s="153" t="s">
        <v>85</v>
      </c>
      <c r="AB482" s="140"/>
      <c r="AC482" s="158" t="s">
        <v>78</v>
      </c>
      <c r="AD482" s="153" t="s">
        <v>138</v>
      </c>
    </row>
    <row r="483" spans="1:30" ht="406.5" customHeight="1" thickBot="1">
      <c r="A483" s="167"/>
      <c r="B483" s="169"/>
      <c r="C483" s="154"/>
      <c r="D483" s="154"/>
      <c r="E483" s="154"/>
      <c r="F483" s="154"/>
      <c r="G483" s="154"/>
      <c r="H483" s="154"/>
      <c r="I483" s="154"/>
      <c r="J483" s="154"/>
      <c r="K483" s="141" t="s">
        <v>122</v>
      </c>
      <c r="L483" s="154"/>
      <c r="M483" s="154"/>
      <c r="N483" s="154"/>
      <c r="O483" s="154"/>
      <c r="P483" s="154"/>
      <c r="Q483" s="154"/>
      <c r="R483" s="154"/>
      <c r="S483" s="154"/>
      <c r="T483" s="154"/>
      <c r="U483" s="141" t="s">
        <v>128</v>
      </c>
      <c r="V483" s="154"/>
      <c r="W483" s="154"/>
      <c r="X483" s="154"/>
      <c r="Y483" s="154"/>
      <c r="Z483" s="154"/>
      <c r="AA483" s="154"/>
      <c r="AB483" s="141" t="s">
        <v>77</v>
      </c>
      <c r="AC483" s="159"/>
      <c r="AD483" s="154"/>
    </row>
    <row r="484" spans="1:30" ht="65.25" thickBot="1">
      <c r="A484" s="145">
        <v>1</v>
      </c>
      <c r="B484" s="79">
        <v>2</v>
      </c>
      <c r="C484" s="80" t="s">
        <v>54</v>
      </c>
      <c r="D484" s="81">
        <v>4</v>
      </c>
      <c r="E484" s="80">
        <v>5</v>
      </c>
      <c r="F484" s="80">
        <v>6</v>
      </c>
      <c r="G484" s="80">
        <v>7</v>
      </c>
      <c r="H484" s="80">
        <v>8</v>
      </c>
      <c r="I484" s="80" t="s">
        <v>55</v>
      </c>
      <c r="J484" s="81">
        <v>10</v>
      </c>
      <c r="K484" s="80">
        <v>11</v>
      </c>
      <c r="L484" s="80">
        <v>12</v>
      </c>
      <c r="M484" s="80">
        <v>13</v>
      </c>
      <c r="N484" s="80">
        <v>14</v>
      </c>
      <c r="O484" s="80">
        <v>15</v>
      </c>
      <c r="P484" s="143">
        <v>16</v>
      </c>
      <c r="Q484" s="80">
        <v>17</v>
      </c>
      <c r="R484" s="143">
        <v>18</v>
      </c>
      <c r="S484" s="80">
        <v>19</v>
      </c>
      <c r="T484" s="143">
        <v>20</v>
      </c>
      <c r="U484" s="143">
        <v>21</v>
      </c>
      <c r="V484" s="80">
        <v>22</v>
      </c>
      <c r="W484" s="80">
        <v>23</v>
      </c>
      <c r="X484" s="143">
        <v>24</v>
      </c>
      <c r="Y484" s="80">
        <v>25</v>
      </c>
      <c r="Z484" s="80">
        <v>26</v>
      </c>
      <c r="AA484" s="80">
        <v>27</v>
      </c>
      <c r="AB484" s="143">
        <v>28</v>
      </c>
      <c r="AC484" s="142">
        <v>29</v>
      </c>
      <c r="AD484" s="80">
        <v>31</v>
      </c>
    </row>
    <row r="485" spans="1:30" ht="65.25" thickBot="1">
      <c r="A485" s="150" t="s">
        <v>5</v>
      </c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52"/>
    </row>
    <row r="486" spans="1:30" ht="194.25" thickBot="1">
      <c r="A486" s="84">
        <v>84</v>
      </c>
      <c r="B486" s="25" t="s">
        <v>204</v>
      </c>
      <c r="C486" s="84"/>
      <c r="D486" s="85"/>
      <c r="E486" s="85"/>
      <c r="F486" s="85"/>
      <c r="G486" s="85">
        <v>15</v>
      </c>
      <c r="H486" s="86"/>
      <c r="I486" s="86"/>
      <c r="J486" s="86"/>
      <c r="K486" s="86"/>
      <c r="L486" s="86"/>
      <c r="M486" s="86"/>
      <c r="N486" s="86"/>
      <c r="O486" s="86">
        <v>4</v>
      </c>
      <c r="P486" s="86">
        <v>2</v>
      </c>
      <c r="Q486" s="86"/>
      <c r="R486" s="86"/>
      <c r="S486" s="86">
        <v>113</v>
      </c>
      <c r="T486" s="87"/>
      <c r="U486" s="84"/>
      <c r="V486" s="87"/>
      <c r="W486" s="84"/>
      <c r="X486" s="86"/>
      <c r="Y486" s="86"/>
      <c r="Z486" s="86"/>
      <c r="AA486" s="86"/>
      <c r="AB486" s="86"/>
      <c r="AC486" s="87"/>
      <c r="AD486" s="83"/>
    </row>
    <row r="487" spans="1:30" ht="65.25" thickBot="1">
      <c r="A487" s="84">
        <v>15</v>
      </c>
      <c r="B487" s="23" t="s">
        <v>224</v>
      </c>
      <c r="C487" s="84"/>
      <c r="D487" s="85"/>
      <c r="E487" s="85"/>
      <c r="F487" s="85"/>
      <c r="G487" s="85"/>
      <c r="H487" s="86"/>
      <c r="I487" s="86"/>
      <c r="J487" s="86"/>
      <c r="K487" s="86"/>
      <c r="L487" s="86"/>
      <c r="M487" s="86"/>
      <c r="N487" s="87"/>
      <c r="O487" s="84">
        <v>8</v>
      </c>
      <c r="P487" s="87"/>
      <c r="Q487" s="84"/>
      <c r="R487" s="87"/>
      <c r="S487" s="84">
        <v>90</v>
      </c>
      <c r="T487" s="84"/>
      <c r="U487" s="87"/>
      <c r="V487" s="84"/>
      <c r="W487" s="87"/>
      <c r="X487" s="84"/>
      <c r="Y487" s="84"/>
      <c r="Z487" s="87"/>
      <c r="AA487" s="84"/>
      <c r="AB487" s="84"/>
      <c r="AC487" s="90">
        <v>1.1</v>
      </c>
      <c r="AD487" s="83"/>
    </row>
    <row r="488" spans="1:30" ht="129.75" thickBot="1">
      <c r="A488" s="83">
        <v>3</v>
      </c>
      <c r="B488" s="22" t="s">
        <v>38</v>
      </c>
      <c r="C488" s="86">
        <v>20</v>
      </c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3"/>
      <c r="O488" s="87"/>
      <c r="P488" s="84">
        <v>5</v>
      </c>
      <c r="Q488" s="87"/>
      <c r="R488" s="83"/>
      <c r="S488" s="87"/>
      <c r="T488" s="90"/>
      <c r="U488" s="83"/>
      <c r="V488" s="84"/>
      <c r="W488" s="87"/>
      <c r="X488" s="83"/>
      <c r="Y488" s="87"/>
      <c r="Z488" s="83">
        <v>9</v>
      </c>
      <c r="AA488" s="87"/>
      <c r="AB488" s="83"/>
      <c r="AC488" s="87"/>
      <c r="AD488" s="83"/>
    </row>
    <row r="489" spans="1:30" ht="65.25" thickBot="1">
      <c r="A489" s="83"/>
      <c r="B489" s="22" t="s">
        <v>6</v>
      </c>
      <c r="C489" s="84">
        <f>SUM(C486+C487+C488)</f>
        <v>20</v>
      </c>
      <c r="D489" s="84">
        <f aca="true" t="shared" si="84" ref="D489:AD489">SUM(D486+D487+D488)</f>
        <v>0</v>
      </c>
      <c r="E489" s="84">
        <f t="shared" si="84"/>
        <v>0</v>
      </c>
      <c r="F489" s="84">
        <f t="shared" si="84"/>
        <v>0</v>
      </c>
      <c r="G489" s="84">
        <f t="shared" si="84"/>
        <v>15</v>
      </c>
      <c r="H489" s="84">
        <f t="shared" si="84"/>
        <v>0</v>
      </c>
      <c r="I489" s="84">
        <f t="shared" si="84"/>
        <v>0</v>
      </c>
      <c r="J489" s="84">
        <f t="shared" si="84"/>
        <v>0</v>
      </c>
      <c r="K489" s="84">
        <f t="shared" si="84"/>
        <v>0</v>
      </c>
      <c r="L489" s="84">
        <f t="shared" si="84"/>
        <v>0</v>
      </c>
      <c r="M489" s="84">
        <f t="shared" si="84"/>
        <v>0</v>
      </c>
      <c r="N489" s="84">
        <f t="shared" si="84"/>
        <v>0</v>
      </c>
      <c r="O489" s="84">
        <f t="shared" si="84"/>
        <v>12</v>
      </c>
      <c r="P489" s="84">
        <f t="shared" si="84"/>
        <v>7</v>
      </c>
      <c r="Q489" s="84">
        <f t="shared" si="84"/>
        <v>0</v>
      </c>
      <c r="R489" s="84">
        <f t="shared" si="84"/>
        <v>0</v>
      </c>
      <c r="S489" s="84">
        <f t="shared" si="84"/>
        <v>203</v>
      </c>
      <c r="T489" s="84">
        <f t="shared" si="84"/>
        <v>0</v>
      </c>
      <c r="U489" s="84">
        <f t="shared" si="84"/>
        <v>0</v>
      </c>
      <c r="V489" s="84">
        <f t="shared" si="84"/>
        <v>0</v>
      </c>
      <c r="W489" s="84">
        <f t="shared" si="84"/>
        <v>0</v>
      </c>
      <c r="X489" s="84">
        <f t="shared" si="84"/>
        <v>0</v>
      </c>
      <c r="Y489" s="84">
        <f t="shared" si="84"/>
        <v>0</v>
      </c>
      <c r="Z489" s="84">
        <f t="shared" si="84"/>
        <v>9</v>
      </c>
      <c r="AA489" s="84">
        <f t="shared" si="84"/>
        <v>0</v>
      </c>
      <c r="AB489" s="84">
        <f t="shared" si="84"/>
        <v>0</v>
      </c>
      <c r="AC489" s="88">
        <f t="shared" si="84"/>
        <v>1.1</v>
      </c>
      <c r="AD489" s="84">
        <f t="shared" si="84"/>
        <v>0</v>
      </c>
    </row>
    <row r="490" spans="1:30" ht="65.25" thickBot="1">
      <c r="A490" s="155" t="s">
        <v>53</v>
      </c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7"/>
    </row>
    <row r="491" spans="1:30" ht="65.25" thickBot="1">
      <c r="A491" s="83" t="s">
        <v>32</v>
      </c>
      <c r="B491" s="25" t="s">
        <v>182</v>
      </c>
      <c r="C491" s="84"/>
      <c r="D491" s="86"/>
      <c r="E491" s="86"/>
      <c r="F491" s="86"/>
      <c r="G491" s="86"/>
      <c r="H491" s="86"/>
      <c r="I491" s="86"/>
      <c r="J491" s="86"/>
      <c r="K491" s="86">
        <v>100</v>
      </c>
      <c r="L491" s="86"/>
      <c r="M491" s="86"/>
      <c r="N491" s="87"/>
      <c r="O491" s="84"/>
      <c r="P491" s="87"/>
      <c r="Q491" s="84"/>
      <c r="R491" s="87"/>
      <c r="S491" s="84"/>
      <c r="T491" s="87"/>
      <c r="U491" s="84"/>
      <c r="V491" s="84"/>
      <c r="W491" s="87"/>
      <c r="X491" s="84"/>
      <c r="Y491" s="84"/>
      <c r="Z491" s="87"/>
      <c r="AA491" s="84"/>
      <c r="AB491" s="87"/>
      <c r="AC491" s="88"/>
      <c r="AD491" s="83"/>
    </row>
    <row r="492" spans="1:30" ht="65.25" thickBot="1">
      <c r="A492" s="83"/>
      <c r="B492" s="22" t="s">
        <v>29</v>
      </c>
      <c r="C492" s="86">
        <f>SUM(C491)</f>
        <v>0</v>
      </c>
      <c r="D492" s="86">
        <f>SUM(D491)</f>
        <v>0</v>
      </c>
      <c r="E492" s="86">
        <f aca="true" t="shared" si="85" ref="E492:AC492">SUM(E491)</f>
        <v>0</v>
      </c>
      <c r="F492" s="86">
        <f t="shared" si="85"/>
        <v>0</v>
      </c>
      <c r="G492" s="86">
        <f t="shared" si="85"/>
        <v>0</v>
      </c>
      <c r="H492" s="86">
        <f t="shared" si="85"/>
        <v>0</v>
      </c>
      <c r="I492" s="86">
        <f t="shared" si="85"/>
        <v>0</v>
      </c>
      <c r="J492" s="86">
        <f t="shared" si="85"/>
        <v>0</v>
      </c>
      <c r="K492" s="86">
        <f t="shared" si="85"/>
        <v>100</v>
      </c>
      <c r="L492" s="86">
        <f t="shared" si="85"/>
        <v>0</v>
      </c>
      <c r="M492" s="86">
        <f t="shared" si="85"/>
        <v>0</v>
      </c>
      <c r="N492" s="86">
        <f t="shared" si="85"/>
        <v>0</v>
      </c>
      <c r="O492" s="86">
        <f t="shared" si="85"/>
        <v>0</v>
      </c>
      <c r="P492" s="86">
        <f t="shared" si="85"/>
        <v>0</v>
      </c>
      <c r="Q492" s="86">
        <f t="shared" si="85"/>
        <v>0</v>
      </c>
      <c r="R492" s="86">
        <f t="shared" si="85"/>
        <v>0</v>
      </c>
      <c r="S492" s="86">
        <f t="shared" si="85"/>
        <v>0</v>
      </c>
      <c r="T492" s="86">
        <f t="shared" si="85"/>
        <v>0</v>
      </c>
      <c r="U492" s="86">
        <f t="shared" si="85"/>
        <v>0</v>
      </c>
      <c r="V492" s="86">
        <f t="shared" si="85"/>
        <v>0</v>
      </c>
      <c r="W492" s="86">
        <f t="shared" si="85"/>
        <v>0</v>
      </c>
      <c r="X492" s="86">
        <f t="shared" si="85"/>
        <v>0</v>
      </c>
      <c r="Y492" s="86">
        <f t="shared" si="85"/>
        <v>0</v>
      </c>
      <c r="Z492" s="86">
        <f t="shared" si="85"/>
        <v>0</v>
      </c>
      <c r="AA492" s="86">
        <f t="shared" si="85"/>
        <v>0</v>
      </c>
      <c r="AB492" s="86">
        <f t="shared" si="85"/>
        <v>0</v>
      </c>
      <c r="AC492" s="87">
        <f t="shared" si="85"/>
        <v>0</v>
      </c>
      <c r="AD492" s="83">
        <f>SUM(AD491)</f>
        <v>0</v>
      </c>
    </row>
    <row r="493" spans="1:30" ht="65.25" thickBot="1">
      <c r="A493" s="155" t="s">
        <v>31</v>
      </c>
      <c r="B493" s="156"/>
      <c r="C493" s="156"/>
      <c r="D493" s="156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7"/>
    </row>
    <row r="494" spans="1:30" ht="65.25" thickBot="1">
      <c r="A494" s="84">
        <v>51</v>
      </c>
      <c r="B494" s="22" t="s">
        <v>226</v>
      </c>
      <c r="C494" s="84"/>
      <c r="D494" s="86"/>
      <c r="E494" s="86"/>
      <c r="F494" s="86"/>
      <c r="G494" s="86"/>
      <c r="H494" s="86"/>
      <c r="I494" s="86"/>
      <c r="J494" s="86">
        <v>28.8</v>
      </c>
      <c r="K494" s="86"/>
      <c r="L494" s="86"/>
      <c r="M494" s="86"/>
      <c r="N494" s="87"/>
      <c r="O494" s="83"/>
      <c r="P494" s="87"/>
      <c r="Q494" s="83">
        <v>3</v>
      </c>
      <c r="R494" s="87"/>
      <c r="S494" s="83"/>
      <c r="T494" s="87"/>
      <c r="U494" s="84"/>
      <c r="V494" s="83"/>
      <c r="W494" s="87"/>
      <c r="X494" s="84"/>
      <c r="Y494" s="83"/>
      <c r="Z494" s="87"/>
      <c r="AA494" s="83"/>
      <c r="AB494" s="84"/>
      <c r="AC494" s="87"/>
      <c r="AD494" s="83"/>
    </row>
    <row r="495" spans="1:30" ht="194.25" thickBot="1">
      <c r="A495" s="83">
        <v>57</v>
      </c>
      <c r="B495" s="22" t="s">
        <v>236</v>
      </c>
      <c r="C495" s="84"/>
      <c r="D495" s="86"/>
      <c r="E495" s="86">
        <v>6</v>
      </c>
      <c r="F495" s="86"/>
      <c r="G495" s="86"/>
      <c r="H495" s="86"/>
      <c r="I495" s="86">
        <v>26</v>
      </c>
      <c r="J495" s="86">
        <v>14.2</v>
      </c>
      <c r="K495" s="86"/>
      <c r="L495" s="86"/>
      <c r="M495" s="86"/>
      <c r="N495" s="87"/>
      <c r="O495" s="83"/>
      <c r="P495" s="87">
        <v>2</v>
      </c>
      <c r="Q495" s="83"/>
      <c r="R495" s="87">
        <v>1.5</v>
      </c>
      <c r="S495" s="83">
        <v>9</v>
      </c>
      <c r="T495" s="87"/>
      <c r="U495" s="83"/>
      <c r="V495" s="83"/>
      <c r="W495" s="87">
        <v>19</v>
      </c>
      <c r="X495" s="83"/>
      <c r="Y495" s="84"/>
      <c r="Z495" s="87"/>
      <c r="AA495" s="83"/>
      <c r="AB495" s="83"/>
      <c r="AC495" s="87"/>
      <c r="AD495" s="83"/>
    </row>
    <row r="496" spans="1:30" ht="129.75" thickBot="1">
      <c r="A496" s="83">
        <v>81</v>
      </c>
      <c r="B496" s="22" t="s">
        <v>209</v>
      </c>
      <c r="C496" s="84"/>
      <c r="D496" s="86"/>
      <c r="E496" s="86">
        <v>1.5</v>
      </c>
      <c r="F496" s="86"/>
      <c r="G496" s="86"/>
      <c r="H496" s="86"/>
      <c r="I496" s="86"/>
      <c r="J496" s="86">
        <v>169.5</v>
      </c>
      <c r="K496" s="86"/>
      <c r="L496" s="86"/>
      <c r="M496" s="86"/>
      <c r="N496" s="86"/>
      <c r="O496" s="86">
        <v>3.5</v>
      </c>
      <c r="P496" s="86"/>
      <c r="Q496" s="86">
        <v>3.5</v>
      </c>
      <c r="R496" s="86"/>
      <c r="S496" s="86"/>
      <c r="T496" s="86"/>
      <c r="U496" s="86"/>
      <c r="V496" s="86">
        <v>89</v>
      </c>
      <c r="W496" s="86"/>
      <c r="X496" s="86"/>
      <c r="Y496" s="86"/>
      <c r="Z496" s="86"/>
      <c r="AA496" s="86"/>
      <c r="AB496" s="86"/>
      <c r="AC496" s="87"/>
      <c r="AD496" s="83"/>
    </row>
    <row r="497" spans="1:30" ht="129.75" thickBot="1">
      <c r="A497" s="84">
        <v>54</v>
      </c>
      <c r="B497" s="23" t="s">
        <v>154</v>
      </c>
      <c r="C497" s="84"/>
      <c r="D497" s="85"/>
      <c r="E497" s="85"/>
      <c r="F497" s="85"/>
      <c r="G497" s="85"/>
      <c r="H497" s="86"/>
      <c r="I497" s="86"/>
      <c r="J497" s="86"/>
      <c r="K497" s="86"/>
      <c r="L497" s="86">
        <v>30</v>
      </c>
      <c r="M497" s="86"/>
      <c r="N497" s="87"/>
      <c r="O497" s="84">
        <v>10</v>
      </c>
      <c r="P497" s="87"/>
      <c r="Q497" s="84"/>
      <c r="R497" s="87"/>
      <c r="S497" s="84"/>
      <c r="T497" s="84"/>
      <c r="U497" s="87"/>
      <c r="V497" s="84"/>
      <c r="W497" s="87"/>
      <c r="X497" s="84"/>
      <c r="Y497" s="84"/>
      <c r="Z497" s="87"/>
      <c r="AA497" s="84"/>
      <c r="AB497" s="84"/>
      <c r="AC497" s="88"/>
      <c r="AD497" s="83"/>
    </row>
    <row r="498" spans="1:30" ht="129.75" thickBot="1">
      <c r="A498" s="83" t="s">
        <v>32</v>
      </c>
      <c r="B498" s="22" t="s">
        <v>56</v>
      </c>
      <c r="C498" s="84">
        <v>20</v>
      </c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7"/>
      <c r="U498" s="83"/>
      <c r="V498" s="86"/>
      <c r="W498" s="87"/>
      <c r="X498" s="83"/>
      <c r="Y498" s="86"/>
      <c r="Z498" s="86"/>
      <c r="AA498" s="86"/>
      <c r="AB498" s="86"/>
      <c r="AC498" s="87"/>
      <c r="AD498" s="83"/>
    </row>
    <row r="499" spans="1:33" s="82" customFormat="1" ht="129.75" thickBot="1">
      <c r="A499" s="83" t="s">
        <v>32</v>
      </c>
      <c r="B499" s="22" t="s">
        <v>58</v>
      </c>
      <c r="C499" s="84"/>
      <c r="D499" s="86">
        <v>40</v>
      </c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7"/>
      <c r="AD499" s="83"/>
      <c r="AE499" s="13"/>
      <c r="AF499" s="13"/>
      <c r="AG499" s="13"/>
    </row>
    <row r="500" spans="1:30" ht="65.25" thickBot="1">
      <c r="A500" s="83"/>
      <c r="B500" s="22" t="s">
        <v>6</v>
      </c>
      <c r="C500" s="84">
        <f aca="true" t="shared" si="86" ref="C500:AD500">SUM(C494:C499)</f>
        <v>20</v>
      </c>
      <c r="D500" s="84">
        <f t="shared" si="86"/>
        <v>40</v>
      </c>
      <c r="E500" s="84">
        <f t="shared" si="86"/>
        <v>7.5</v>
      </c>
      <c r="F500" s="84">
        <f t="shared" si="86"/>
        <v>0</v>
      </c>
      <c r="G500" s="84">
        <f t="shared" si="86"/>
        <v>0</v>
      </c>
      <c r="H500" s="84">
        <f t="shared" si="86"/>
        <v>0</v>
      </c>
      <c r="I500" s="84">
        <f t="shared" si="86"/>
        <v>26</v>
      </c>
      <c r="J500" s="84">
        <f t="shared" si="86"/>
        <v>212.5</v>
      </c>
      <c r="K500" s="84">
        <f t="shared" si="86"/>
        <v>0</v>
      </c>
      <c r="L500" s="84">
        <f t="shared" si="86"/>
        <v>30</v>
      </c>
      <c r="M500" s="84">
        <f t="shared" si="86"/>
        <v>0</v>
      </c>
      <c r="N500" s="84">
        <f t="shared" si="86"/>
        <v>0</v>
      </c>
      <c r="O500" s="84">
        <f t="shared" si="86"/>
        <v>13.5</v>
      </c>
      <c r="P500" s="84">
        <f t="shared" si="86"/>
        <v>2</v>
      </c>
      <c r="Q500" s="84">
        <f t="shared" si="86"/>
        <v>6.5</v>
      </c>
      <c r="R500" s="84">
        <f t="shared" si="86"/>
        <v>1.5</v>
      </c>
      <c r="S500" s="84">
        <f t="shared" si="86"/>
        <v>9</v>
      </c>
      <c r="T500" s="84">
        <f t="shared" si="86"/>
        <v>0</v>
      </c>
      <c r="U500" s="84">
        <f t="shared" si="86"/>
        <v>0</v>
      </c>
      <c r="V500" s="84">
        <f t="shared" si="86"/>
        <v>89</v>
      </c>
      <c r="W500" s="84">
        <f t="shared" si="86"/>
        <v>19</v>
      </c>
      <c r="X500" s="84">
        <f t="shared" si="86"/>
        <v>0</v>
      </c>
      <c r="Y500" s="84">
        <f t="shared" si="86"/>
        <v>0</v>
      </c>
      <c r="Z500" s="84">
        <f t="shared" si="86"/>
        <v>0</v>
      </c>
      <c r="AA500" s="84">
        <f t="shared" si="86"/>
        <v>0</v>
      </c>
      <c r="AB500" s="84">
        <f t="shared" si="86"/>
        <v>0</v>
      </c>
      <c r="AC500" s="88">
        <f t="shared" si="86"/>
        <v>0</v>
      </c>
      <c r="AD500" s="84">
        <f t="shared" si="86"/>
        <v>0</v>
      </c>
    </row>
    <row r="501" spans="1:30" ht="65.25" thickBot="1">
      <c r="A501" s="150" t="s">
        <v>145</v>
      </c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2"/>
    </row>
    <row r="502" spans="1:30" ht="194.25" thickBot="1">
      <c r="A502" s="92">
        <v>21.1</v>
      </c>
      <c r="B502" s="27" t="s">
        <v>172</v>
      </c>
      <c r="C502" s="83"/>
      <c r="D502" s="86"/>
      <c r="E502" s="83"/>
      <c r="F502" s="83"/>
      <c r="G502" s="83"/>
      <c r="H502" s="86"/>
      <c r="I502" s="86"/>
      <c r="J502" s="86"/>
      <c r="K502" s="86"/>
      <c r="L502" s="86"/>
      <c r="M502" s="86"/>
      <c r="N502" s="87"/>
      <c r="O502" s="84"/>
      <c r="P502" s="87"/>
      <c r="Q502" s="84"/>
      <c r="R502" s="87"/>
      <c r="S502" s="84">
        <v>155</v>
      </c>
      <c r="T502" s="87"/>
      <c r="U502" s="84"/>
      <c r="V502" s="84"/>
      <c r="W502" s="87"/>
      <c r="X502" s="84"/>
      <c r="Y502" s="84"/>
      <c r="Z502" s="87"/>
      <c r="AA502" s="84"/>
      <c r="AB502" s="84"/>
      <c r="AC502" s="88"/>
      <c r="AD502" s="83"/>
    </row>
    <row r="503" spans="1:30" ht="65.25" thickBot="1">
      <c r="A503" s="84">
        <v>74</v>
      </c>
      <c r="B503" s="22" t="s">
        <v>221</v>
      </c>
      <c r="C503" s="84"/>
      <c r="D503" s="86"/>
      <c r="E503" s="86">
        <v>12.4</v>
      </c>
      <c r="F503" s="86"/>
      <c r="G503" s="86">
        <v>3</v>
      </c>
      <c r="H503" s="86"/>
      <c r="I503" s="85"/>
      <c r="J503" s="85"/>
      <c r="K503" s="85"/>
      <c r="L503" s="85"/>
      <c r="M503" s="85"/>
      <c r="N503" s="85"/>
      <c r="O503" s="85">
        <v>6.2</v>
      </c>
      <c r="P503" s="85">
        <v>2</v>
      </c>
      <c r="Q503" s="85">
        <v>0.7</v>
      </c>
      <c r="R503" s="85">
        <v>6</v>
      </c>
      <c r="S503" s="85">
        <v>6</v>
      </c>
      <c r="T503" s="85">
        <v>41</v>
      </c>
      <c r="U503" s="85"/>
      <c r="V503" s="85"/>
      <c r="W503" s="85"/>
      <c r="X503" s="85"/>
      <c r="Y503" s="85"/>
      <c r="Z503" s="85"/>
      <c r="AA503" s="85"/>
      <c r="AB503" s="85"/>
      <c r="AC503" s="91"/>
      <c r="AD503" s="84"/>
    </row>
    <row r="504" spans="1:30" ht="65.25" thickBot="1">
      <c r="A504" s="84"/>
      <c r="B504" s="25" t="s">
        <v>29</v>
      </c>
      <c r="C504" s="84">
        <f aca="true" t="shared" si="87" ref="C504:AD504">C502+C503</f>
        <v>0</v>
      </c>
      <c r="D504" s="84">
        <f t="shared" si="87"/>
        <v>0</v>
      </c>
      <c r="E504" s="84">
        <f t="shared" si="87"/>
        <v>12.4</v>
      </c>
      <c r="F504" s="84">
        <f t="shared" si="87"/>
        <v>0</v>
      </c>
      <c r="G504" s="84">
        <f t="shared" si="87"/>
        <v>3</v>
      </c>
      <c r="H504" s="84">
        <f t="shared" si="87"/>
        <v>0</v>
      </c>
      <c r="I504" s="84">
        <f t="shared" si="87"/>
        <v>0</v>
      </c>
      <c r="J504" s="84">
        <f t="shared" si="87"/>
        <v>0</v>
      </c>
      <c r="K504" s="84">
        <f t="shared" si="87"/>
        <v>0</v>
      </c>
      <c r="L504" s="84">
        <f t="shared" si="87"/>
        <v>0</v>
      </c>
      <c r="M504" s="84">
        <f t="shared" si="87"/>
        <v>0</v>
      </c>
      <c r="N504" s="84">
        <f t="shared" si="87"/>
        <v>0</v>
      </c>
      <c r="O504" s="84">
        <f t="shared" si="87"/>
        <v>6.2</v>
      </c>
      <c r="P504" s="84">
        <f t="shared" si="87"/>
        <v>2</v>
      </c>
      <c r="Q504" s="84">
        <f t="shared" si="87"/>
        <v>0.7</v>
      </c>
      <c r="R504" s="84">
        <f t="shared" si="87"/>
        <v>6</v>
      </c>
      <c r="S504" s="84">
        <f t="shared" si="87"/>
        <v>161</v>
      </c>
      <c r="T504" s="84">
        <f t="shared" si="87"/>
        <v>41</v>
      </c>
      <c r="U504" s="84">
        <f t="shared" si="87"/>
        <v>0</v>
      </c>
      <c r="V504" s="84">
        <f t="shared" si="87"/>
        <v>0</v>
      </c>
      <c r="W504" s="84">
        <f t="shared" si="87"/>
        <v>0</v>
      </c>
      <c r="X504" s="84">
        <f t="shared" si="87"/>
        <v>0</v>
      </c>
      <c r="Y504" s="84">
        <f t="shared" si="87"/>
        <v>0</v>
      </c>
      <c r="Z504" s="84">
        <f t="shared" si="87"/>
        <v>0</v>
      </c>
      <c r="AA504" s="84">
        <f t="shared" si="87"/>
        <v>0</v>
      </c>
      <c r="AB504" s="84">
        <f t="shared" si="87"/>
        <v>0</v>
      </c>
      <c r="AC504" s="88">
        <f t="shared" si="87"/>
        <v>0</v>
      </c>
      <c r="AD504" s="84">
        <f t="shared" si="87"/>
        <v>0</v>
      </c>
    </row>
    <row r="505" spans="1:30" ht="65.25" thickBot="1">
      <c r="A505" s="155" t="s">
        <v>144</v>
      </c>
      <c r="B505" s="156"/>
      <c r="C505" s="156"/>
      <c r="D505" s="156"/>
      <c r="E505" s="156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  <c r="AA505" s="156"/>
      <c r="AB505" s="156"/>
      <c r="AC505" s="156"/>
      <c r="AD505" s="157"/>
    </row>
    <row r="506" spans="1:30" ht="129.75" thickBot="1">
      <c r="A506" s="83">
        <v>53</v>
      </c>
      <c r="B506" s="22" t="s">
        <v>174</v>
      </c>
      <c r="C506" s="84"/>
      <c r="D506" s="86"/>
      <c r="E506" s="86"/>
      <c r="F506" s="86"/>
      <c r="G506" s="86"/>
      <c r="H506" s="86"/>
      <c r="I506" s="86">
        <v>26</v>
      </c>
      <c r="J506" s="86">
        <v>29.5</v>
      </c>
      <c r="K506" s="86"/>
      <c r="L506" s="86"/>
      <c r="M506" s="86"/>
      <c r="N506" s="83"/>
      <c r="O506" s="87"/>
      <c r="P506" s="83">
        <v>2</v>
      </c>
      <c r="Q506" s="87"/>
      <c r="R506" s="83"/>
      <c r="S506" s="87"/>
      <c r="T506" s="90"/>
      <c r="U506" s="83"/>
      <c r="V506" s="83">
        <v>6</v>
      </c>
      <c r="W506" s="87">
        <v>19</v>
      </c>
      <c r="X506" s="83"/>
      <c r="Y506" s="84">
        <v>7</v>
      </c>
      <c r="Z506" s="83"/>
      <c r="AA506" s="83"/>
      <c r="AB506" s="87"/>
      <c r="AC506" s="90"/>
      <c r="AD506" s="83"/>
    </row>
    <row r="507" spans="1:30" ht="65.25" thickBot="1">
      <c r="A507" s="84">
        <v>13</v>
      </c>
      <c r="B507" s="23" t="s">
        <v>7</v>
      </c>
      <c r="C507" s="84"/>
      <c r="D507" s="85"/>
      <c r="E507" s="85"/>
      <c r="F507" s="85"/>
      <c r="G507" s="85"/>
      <c r="H507" s="86"/>
      <c r="I507" s="86"/>
      <c r="J507" s="86"/>
      <c r="K507" s="86"/>
      <c r="L507" s="86"/>
      <c r="M507" s="86"/>
      <c r="N507" s="87"/>
      <c r="O507" s="84">
        <v>10</v>
      </c>
      <c r="P507" s="87"/>
      <c r="Q507" s="84"/>
      <c r="R507" s="87"/>
      <c r="S507" s="84"/>
      <c r="T507" s="84"/>
      <c r="U507" s="87"/>
      <c r="V507" s="84"/>
      <c r="W507" s="87"/>
      <c r="X507" s="84"/>
      <c r="Y507" s="84"/>
      <c r="Z507" s="87"/>
      <c r="AA507" s="84">
        <v>0.48</v>
      </c>
      <c r="AB507" s="84"/>
      <c r="AC507" s="90"/>
      <c r="AD507" s="83"/>
    </row>
    <row r="508" spans="1:30" ht="129.75" thickBot="1">
      <c r="A508" s="83">
        <v>69</v>
      </c>
      <c r="B508" s="22" t="s">
        <v>106</v>
      </c>
      <c r="C508" s="84"/>
      <c r="D508" s="86"/>
      <c r="E508" s="86"/>
      <c r="F508" s="86"/>
      <c r="G508" s="86"/>
      <c r="H508" s="86"/>
      <c r="I508" s="86"/>
      <c r="J508" s="86"/>
      <c r="K508" s="86"/>
      <c r="L508" s="86">
        <v>85</v>
      </c>
      <c r="M508" s="8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7"/>
      <c r="AD508" s="84"/>
    </row>
    <row r="509" spans="1:30" ht="129.75" thickBot="1">
      <c r="A509" s="83" t="s">
        <v>32</v>
      </c>
      <c r="B509" s="22" t="s">
        <v>56</v>
      </c>
      <c r="C509" s="86">
        <v>15</v>
      </c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7"/>
      <c r="U509" s="83"/>
      <c r="V509" s="86"/>
      <c r="W509" s="87"/>
      <c r="X509" s="83"/>
      <c r="Y509" s="86"/>
      <c r="Z509" s="86"/>
      <c r="AA509" s="86"/>
      <c r="AB509" s="86"/>
      <c r="AC509" s="87"/>
      <c r="AD509" s="83"/>
    </row>
    <row r="510" spans="1:30" ht="65.25" thickBot="1">
      <c r="A510" s="83"/>
      <c r="B510" s="22" t="s">
        <v>6</v>
      </c>
      <c r="C510" s="84">
        <f aca="true" t="shared" si="88" ref="C510:AD510">SUM(C506:C509)</f>
        <v>15</v>
      </c>
      <c r="D510" s="84">
        <f t="shared" si="88"/>
        <v>0</v>
      </c>
      <c r="E510" s="84">
        <f t="shared" si="88"/>
        <v>0</v>
      </c>
      <c r="F510" s="84">
        <f t="shared" si="88"/>
        <v>0</v>
      </c>
      <c r="G510" s="84">
        <f t="shared" si="88"/>
        <v>0</v>
      </c>
      <c r="H510" s="84">
        <f t="shared" si="88"/>
        <v>0</v>
      </c>
      <c r="I510" s="84">
        <f t="shared" si="88"/>
        <v>26</v>
      </c>
      <c r="J510" s="84">
        <f t="shared" si="88"/>
        <v>29.5</v>
      </c>
      <c r="K510" s="84">
        <f t="shared" si="88"/>
        <v>0</v>
      </c>
      <c r="L510" s="84">
        <f t="shared" si="88"/>
        <v>85</v>
      </c>
      <c r="M510" s="84">
        <f t="shared" si="88"/>
        <v>0</v>
      </c>
      <c r="N510" s="84">
        <f t="shared" si="88"/>
        <v>0</v>
      </c>
      <c r="O510" s="84">
        <f t="shared" si="88"/>
        <v>10</v>
      </c>
      <c r="P510" s="84">
        <f t="shared" si="88"/>
        <v>2</v>
      </c>
      <c r="Q510" s="84">
        <f t="shared" si="88"/>
        <v>0</v>
      </c>
      <c r="R510" s="84">
        <f t="shared" si="88"/>
        <v>0</v>
      </c>
      <c r="S510" s="84">
        <f t="shared" si="88"/>
        <v>0</v>
      </c>
      <c r="T510" s="84">
        <f t="shared" si="88"/>
        <v>0</v>
      </c>
      <c r="U510" s="84">
        <f t="shared" si="88"/>
        <v>0</v>
      </c>
      <c r="V510" s="84">
        <f t="shared" si="88"/>
        <v>6</v>
      </c>
      <c r="W510" s="84">
        <f t="shared" si="88"/>
        <v>19</v>
      </c>
      <c r="X510" s="84">
        <f t="shared" si="88"/>
        <v>0</v>
      </c>
      <c r="Y510" s="84">
        <f t="shared" si="88"/>
        <v>7</v>
      </c>
      <c r="Z510" s="84">
        <f t="shared" si="88"/>
        <v>0</v>
      </c>
      <c r="AA510" s="84">
        <f t="shared" si="88"/>
        <v>0.48</v>
      </c>
      <c r="AB510" s="84">
        <f t="shared" si="88"/>
        <v>0</v>
      </c>
      <c r="AC510" s="88">
        <f t="shared" si="88"/>
        <v>0</v>
      </c>
      <c r="AD510" s="84">
        <f t="shared" si="88"/>
        <v>0</v>
      </c>
    </row>
    <row r="511" spans="1:30" ht="194.25" thickBot="1">
      <c r="A511" s="145"/>
      <c r="B511" s="22" t="s">
        <v>148</v>
      </c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8"/>
      <c r="AD511" s="84"/>
    </row>
    <row r="512" spans="1:30" ht="65.25" thickBot="1">
      <c r="A512" s="83"/>
      <c r="B512" s="93" t="s">
        <v>10</v>
      </c>
      <c r="C512" s="84">
        <f aca="true" t="shared" si="89" ref="C512:AD512">C489+C492+C500+C504+C510</f>
        <v>55</v>
      </c>
      <c r="D512" s="84">
        <f t="shared" si="89"/>
        <v>40</v>
      </c>
      <c r="E512" s="84">
        <f t="shared" si="89"/>
        <v>19.9</v>
      </c>
      <c r="F512" s="84">
        <f t="shared" si="89"/>
        <v>0</v>
      </c>
      <c r="G512" s="84">
        <f t="shared" si="89"/>
        <v>18</v>
      </c>
      <c r="H512" s="84">
        <f t="shared" si="89"/>
        <v>0</v>
      </c>
      <c r="I512" s="84">
        <f t="shared" si="89"/>
        <v>52</v>
      </c>
      <c r="J512" s="84">
        <f t="shared" si="89"/>
        <v>242</v>
      </c>
      <c r="K512" s="84">
        <f t="shared" si="89"/>
        <v>100</v>
      </c>
      <c r="L512" s="84">
        <f t="shared" si="89"/>
        <v>115</v>
      </c>
      <c r="M512" s="84">
        <f t="shared" si="89"/>
        <v>0</v>
      </c>
      <c r="N512" s="84">
        <f t="shared" si="89"/>
        <v>0</v>
      </c>
      <c r="O512" s="84">
        <f t="shared" si="89"/>
        <v>41.7</v>
      </c>
      <c r="P512" s="84">
        <f t="shared" si="89"/>
        <v>13</v>
      </c>
      <c r="Q512" s="84">
        <f t="shared" si="89"/>
        <v>7.2</v>
      </c>
      <c r="R512" s="84">
        <f t="shared" si="89"/>
        <v>7.5</v>
      </c>
      <c r="S512" s="84">
        <f t="shared" si="89"/>
        <v>373</v>
      </c>
      <c r="T512" s="84">
        <f t="shared" si="89"/>
        <v>41</v>
      </c>
      <c r="U512" s="84">
        <f t="shared" si="89"/>
        <v>0</v>
      </c>
      <c r="V512" s="84">
        <f t="shared" si="89"/>
        <v>95</v>
      </c>
      <c r="W512" s="84">
        <f t="shared" si="89"/>
        <v>38</v>
      </c>
      <c r="X512" s="84">
        <f t="shared" si="89"/>
        <v>0</v>
      </c>
      <c r="Y512" s="84">
        <f t="shared" si="89"/>
        <v>7</v>
      </c>
      <c r="Z512" s="84">
        <f t="shared" si="89"/>
        <v>9</v>
      </c>
      <c r="AA512" s="84">
        <f t="shared" si="89"/>
        <v>0.48</v>
      </c>
      <c r="AB512" s="84">
        <f t="shared" si="89"/>
        <v>0</v>
      </c>
      <c r="AC512" s="88">
        <f t="shared" si="89"/>
        <v>1.1</v>
      </c>
      <c r="AD512" s="84">
        <f t="shared" si="89"/>
        <v>0</v>
      </c>
    </row>
    <row r="513" spans="1:30" ht="65.25" thickBot="1">
      <c r="A513" s="150" t="s">
        <v>62</v>
      </c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2"/>
    </row>
    <row r="514" spans="1:30" ht="65.25" thickBot="1">
      <c r="A514" s="150" t="s">
        <v>92</v>
      </c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2"/>
    </row>
    <row r="515" spans="1:30" ht="46.5" customHeight="1">
      <c r="A515" s="166" t="s">
        <v>30</v>
      </c>
      <c r="B515" s="168" t="s">
        <v>23</v>
      </c>
      <c r="C515" s="153" t="s">
        <v>116</v>
      </c>
      <c r="D515" s="153" t="s">
        <v>117</v>
      </c>
      <c r="E515" s="153" t="s">
        <v>118</v>
      </c>
      <c r="F515" s="153" t="s">
        <v>119</v>
      </c>
      <c r="G515" s="153" t="s">
        <v>120</v>
      </c>
      <c r="H515" s="153" t="s">
        <v>121</v>
      </c>
      <c r="I515" s="153" t="s">
        <v>110</v>
      </c>
      <c r="J515" s="153" t="s">
        <v>257</v>
      </c>
      <c r="K515" s="140"/>
      <c r="L515" s="153" t="s">
        <v>142</v>
      </c>
      <c r="M515" s="153" t="s">
        <v>79</v>
      </c>
      <c r="N515" s="153" t="s">
        <v>123</v>
      </c>
      <c r="O515" s="153" t="s">
        <v>80</v>
      </c>
      <c r="P515" s="153" t="s">
        <v>124</v>
      </c>
      <c r="Q515" s="153" t="s">
        <v>81</v>
      </c>
      <c r="R515" s="153" t="s">
        <v>125</v>
      </c>
      <c r="S515" s="153" t="s">
        <v>126</v>
      </c>
      <c r="T515" s="153" t="s">
        <v>127</v>
      </c>
      <c r="U515" s="140"/>
      <c r="V515" s="153" t="s">
        <v>113</v>
      </c>
      <c r="W515" s="153" t="s">
        <v>129</v>
      </c>
      <c r="X515" s="153" t="s">
        <v>84</v>
      </c>
      <c r="Y515" s="153" t="s">
        <v>82</v>
      </c>
      <c r="Z515" s="153" t="s">
        <v>83</v>
      </c>
      <c r="AA515" s="153" t="s">
        <v>85</v>
      </c>
      <c r="AB515" s="140"/>
      <c r="AC515" s="158" t="s">
        <v>78</v>
      </c>
      <c r="AD515" s="153" t="s">
        <v>138</v>
      </c>
    </row>
    <row r="516" spans="1:30" ht="406.5" customHeight="1" thickBot="1">
      <c r="A516" s="167"/>
      <c r="B516" s="169"/>
      <c r="C516" s="154"/>
      <c r="D516" s="154"/>
      <c r="E516" s="154"/>
      <c r="F516" s="154"/>
      <c r="G516" s="154"/>
      <c r="H516" s="154"/>
      <c r="I516" s="154"/>
      <c r="J516" s="154"/>
      <c r="K516" s="141" t="s">
        <v>122</v>
      </c>
      <c r="L516" s="154"/>
      <c r="M516" s="154"/>
      <c r="N516" s="154"/>
      <c r="O516" s="154"/>
      <c r="P516" s="154"/>
      <c r="Q516" s="154"/>
      <c r="R516" s="154"/>
      <c r="S516" s="154"/>
      <c r="T516" s="154"/>
      <c r="U516" s="141" t="s">
        <v>128</v>
      </c>
      <c r="V516" s="154"/>
      <c r="W516" s="154"/>
      <c r="X516" s="154"/>
      <c r="Y516" s="154"/>
      <c r="Z516" s="154"/>
      <c r="AA516" s="154"/>
      <c r="AB516" s="141" t="s">
        <v>77</v>
      </c>
      <c r="AC516" s="159"/>
      <c r="AD516" s="154"/>
    </row>
    <row r="517" spans="1:30" ht="65.25" thickBot="1">
      <c r="A517" s="145">
        <v>1</v>
      </c>
      <c r="B517" s="79">
        <v>2</v>
      </c>
      <c r="C517" s="80" t="s">
        <v>54</v>
      </c>
      <c r="D517" s="81">
        <v>4</v>
      </c>
      <c r="E517" s="80">
        <v>5</v>
      </c>
      <c r="F517" s="80">
        <v>6</v>
      </c>
      <c r="G517" s="80">
        <v>7</v>
      </c>
      <c r="H517" s="80">
        <v>8</v>
      </c>
      <c r="I517" s="80" t="s">
        <v>55</v>
      </c>
      <c r="J517" s="81">
        <v>10</v>
      </c>
      <c r="K517" s="80">
        <v>11</v>
      </c>
      <c r="L517" s="80">
        <v>12</v>
      </c>
      <c r="M517" s="80">
        <v>13</v>
      </c>
      <c r="N517" s="80">
        <v>14</v>
      </c>
      <c r="O517" s="80">
        <v>15</v>
      </c>
      <c r="P517" s="143">
        <v>16</v>
      </c>
      <c r="Q517" s="80">
        <v>17</v>
      </c>
      <c r="R517" s="143">
        <v>18</v>
      </c>
      <c r="S517" s="80">
        <v>19</v>
      </c>
      <c r="T517" s="143">
        <v>20</v>
      </c>
      <c r="U517" s="143">
        <v>21</v>
      </c>
      <c r="V517" s="80">
        <v>22</v>
      </c>
      <c r="W517" s="80">
        <v>23</v>
      </c>
      <c r="X517" s="143">
        <v>24</v>
      </c>
      <c r="Y517" s="80">
        <v>25</v>
      </c>
      <c r="Z517" s="80">
        <v>26</v>
      </c>
      <c r="AA517" s="80">
        <v>27</v>
      </c>
      <c r="AB517" s="143">
        <v>28</v>
      </c>
      <c r="AC517" s="142">
        <v>29</v>
      </c>
      <c r="AD517" s="80">
        <v>31</v>
      </c>
    </row>
    <row r="518" spans="1:30" ht="65.25" thickBot="1">
      <c r="A518" s="150" t="s">
        <v>5</v>
      </c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  <c r="AC518" s="151"/>
      <c r="AD518" s="152"/>
    </row>
    <row r="519" spans="1:30" ht="129.75" thickBot="1">
      <c r="A519" s="83">
        <v>93</v>
      </c>
      <c r="B519" s="130" t="s">
        <v>233</v>
      </c>
      <c r="C519" s="84"/>
      <c r="D519" s="85"/>
      <c r="E519" s="85"/>
      <c r="F519" s="85"/>
      <c r="G519" s="85">
        <v>41</v>
      </c>
      <c r="H519" s="86"/>
      <c r="I519" s="86"/>
      <c r="J519" s="86"/>
      <c r="K519" s="86"/>
      <c r="L519" s="86"/>
      <c r="M519" s="86">
        <v>7</v>
      </c>
      <c r="N519" s="87"/>
      <c r="O519" s="84">
        <v>5</v>
      </c>
      <c r="P519" s="87">
        <v>4</v>
      </c>
      <c r="Q519" s="84"/>
      <c r="R519" s="87"/>
      <c r="S519" s="84"/>
      <c r="T519" s="87"/>
      <c r="U519" s="84"/>
      <c r="V519" s="84"/>
      <c r="W519" s="84"/>
      <c r="X519" s="87"/>
      <c r="Y519" s="84"/>
      <c r="Z519" s="84"/>
      <c r="AA519" s="84"/>
      <c r="AB519" s="87"/>
      <c r="AC519" s="88"/>
      <c r="AD519" s="84"/>
    </row>
    <row r="520" spans="1:30" ht="65.25" thickBot="1">
      <c r="A520" s="84">
        <v>13</v>
      </c>
      <c r="B520" s="23" t="s">
        <v>7</v>
      </c>
      <c r="C520" s="84"/>
      <c r="D520" s="85"/>
      <c r="E520" s="85"/>
      <c r="F520" s="85"/>
      <c r="G520" s="85"/>
      <c r="H520" s="86"/>
      <c r="I520" s="86"/>
      <c r="J520" s="86"/>
      <c r="K520" s="86"/>
      <c r="L520" s="86"/>
      <c r="M520" s="86"/>
      <c r="N520" s="87"/>
      <c r="O520" s="84">
        <v>10</v>
      </c>
      <c r="P520" s="87"/>
      <c r="Q520" s="84"/>
      <c r="R520" s="87"/>
      <c r="S520" s="84"/>
      <c r="T520" s="84"/>
      <c r="U520" s="87"/>
      <c r="V520" s="84"/>
      <c r="W520" s="87"/>
      <c r="X520" s="84"/>
      <c r="Y520" s="84"/>
      <c r="Z520" s="87"/>
      <c r="AA520" s="84">
        <v>0.48</v>
      </c>
      <c r="AB520" s="84"/>
      <c r="AC520" s="90"/>
      <c r="AD520" s="83"/>
    </row>
    <row r="521" spans="1:30" ht="129.75" thickBot="1">
      <c r="A521" s="83" t="s">
        <v>32</v>
      </c>
      <c r="B521" s="22" t="s">
        <v>250</v>
      </c>
      <c r="C521" s="86"/>
      <c r="D521" s="85"/>
      <c r="E521" s="85"/>
      <c r="F521" s="85"/>
      <c r="G521" s="85"/>
      <c r="H521" s="86"/>
      <c r="I521" s="86"/>
      <c r="J521" s="86"/>
      <c r="K521" s="86"/>
      <c r="L521" s="86"/>
      <c r="M521" s="86"/>
      <c r="N521" s="87">
        <v>15</v>
      </c>
      <c r="O521" s="84"/>
      <c r="P521" s="87"/>
      <c r="Q521" s="84"/>
      <c r="R521" s="87"/>
      <c r="S521" s="84"/>
      <c r="T521" s="87"/>
      <c r="U521" s="84"/>
      <c r="V521" s="87"/>
      <c r="W521" s="84"/>
      <c r="X521" s="84"/>
      <c r="Y521" s="84"/>
      <c r="Z521" s="87"/>
      <c r="AA521" s="83"/>
      <c r="AB521" s="84"/>
      <c r="AC521" s="87"/>
      <c r="AD521" s="84"/>
    </row>
    <row r="522" spans="1:30" ht="65.25" thickBot="1">
      <c r="A522" s="83">
        <v>16</v>
      </c>
      <c r="B522" s="22" t="s">
        <v>36</v>
      </c>
      <c r="C522" s="86">
        <v>30</v>
      </c>
      <c r="D522" s="85"/>
      <c r="E522" s="85"/>
      <c r="F522" s="85"/>
      <c r="G522" s="85"/>
      <c r="H522" s="86"/>
      <c r="I522" s="86"/>
      <c r="J522" s="86"/>
      <c r="K522" s="86"/>
      <c r="L522" s="86"/>
      <c r="M522" s="86"/>
      <c r="N522" s="87"/>
      <c r="O522" s="84"/>
      <c r="P522" s="84">
        <v>5</v>
      </c>
      <c r="Q522" s="84"/>
      <c r="R522" s="87"/>
      <c r="S522" s="84"/>
      <c r="T522" s="87"/>
      <c r="U522" s="83"/>
      <c r="V522" s="84"/>
      <c r="W522" s="83"/>
      <c r="X522" s="87"/>
      <c r="Y522" s="84"/>
      <c r="Z522" s="84"/>
      <c r="AA522" s="87"/>
      <c r="AB522" s="83"/>
      <c r="AC522" s="88"/>
      <c r="AD522" s="84"/>
    </row>
    <row r="523" spans="1:30" ht="65.25" thickBot="1">
      <c r="A523" s="83"/>
      <c r="B523" s="22" t="s">
        <v>6</v>
      </c>
      <c r="C523" s="84">
        <f aca="true" t="shared" si="90" ref="C523:AD523">SUM(C519:C522)</f>
        <v>30</v>
      </c>
      <c r="D523" s="84">
        <f t="shared" si="90"/>
        <v>0</v>
      </c>
      <c r="E523" s="84">
        <f t="shared" si="90"/>
        <v>0</v>
      </c>
      <c r="F523" s="84">
        <f t="shared" si="90"/>
        <v>0</v>
      </c>
      <c r="G523" s="84">
        <f t="shared" si="90"/>
        <v>41</v>
      </c>
      <c r="H523" s="84">
        <f t="shared" si="90"/>
        <v>0</v>
      </c>
      <c r="I523" s="84">
        <f t="shared" si="90"/>
        <v>0</v>
      </c>
      <c r="J523" s="84">
        <f t="shared" si="90"/>
        <v>0</v>
      </c>
      <c r="K523" s="84">
        <f t="shared" si="90"/>
        <v>0</v>
      </c>
      <c r="L523" s="84">
        <f t="shared" si="90"/>
        <v>0</v>
      </c>
      <c r="M523" s="84">
        <f t="shared" si="90"/>
        <v>7</v>
      </c>
      <c r="N523" s="84">
        <f t="shared" si="90"/>
        <v>15</v>
      </c>
      <c r="O523" s="84">
        <f t="shared" si="90"/>
        <v>15</v>
      </c>
      <c r="P523" s="84">
        <f t="shared" si="90"/>
        <v>9</v>
      </c>
      <c r="Q523" s="84">
        <f t="shared" si="90"/>
        <v>0</v>
      </c>
      <c r="R523" s="84">
        <f t="shared" si="90"/>
        <v>0</v>
      </c>
      <c r="S523" s="84">
        <f t="shared" si="90"/>
        <v>0</v>
      </c>
      <c r="T523" s="84">
        <f t="shared" si="90"/>
        <v>0</v>
      </c>
      <c r="U523" s="84">
        <f t="shared" si="90"/>
        <v>0</v>
      </c>
      <c r="V523" s="84">
        <f t="shared" si="90"/>
        <v>0</v>
      </c>
      <c r="W523" s="84">
        <f t="shared" si="90"/>
        <v>0</v>
      </c>
      <c r="X523" s="84">
        <f t="shared" si="90"/>
        <v>0</v>
      </c>
      <c r="Y523" s="84">
        <f t="shared" si="90"/>
        <v>0</v>
      </c>
      <c r="Z523" s="84">
        <f t="shared" si="90"/>
        <v>0</v>
      </c>
      <c r="AA523" s="84">
        <f t="shared" si="90"/>
        <v>0.48</v>
      </c>
      <c r="AB523" s="84">
        <f t="shared" si="90"/>
        <v>0</v>
      </c>
      <c r="AC523" s="88">
        <f t="shared" si="90"/>
        <v>0</v>
      </c>
      <c r="AD523" s="84">
        <f t="shared" si="90"/>
        <v>0</v>
      </c>
    </row>
    <row r="524" spans="1:30" ht="65.25" thickBot="1">
      <c r="A524" s="155" t="s">
        <v>53</v>
      </c>
      <c r="B524" s="156"/>
      <c r="C524" s="156"/>
      <c r="D524" s="156"/>
      <c r="E524" s="156"/>
      <c r="F524" s="156"/>
      <c r="G524" s="156"/>
      <c r="H524" s="156"/>
      <c r="I524" s="156"/>
      <c r="J524" s="156"/>
      <c r="K524" s="156"/>
      <c r="L524" s="156"/>
      <c r="M524" s="156"/>
      <c r="N524" s="156"/>
      <c r="O524" s="156"/>
      <c r="P524" s="156"/>
      <c r="Q524" s="156"/>
      <c r="R524" s="156"/>
      <c r="S524" s="156"/>
      <c r="T524" s="156"/>
      <c r="U524" s="156"/>
      <c r="V524" s="156"/>
      <c r="W524" s="156"/>
      <c r="X524" s="156"/>
      <c r="Y524" s="156"/>
      <c r="Z524" s="156"/>
      <c r="AA524" s="156"/>
      <c r="AB524" s="156"/>
      <c r="AC524" s="156"/>
      <c r="AD524" s="157"/>
    </row>
    <row r="525" spans="1:30" ht="65.25" thickBot="1">
      <c r="A525" s="83" t="s">
        <v>32</v>
      </c>
      <c r="B525" s="25" t="s">
        <v>182</v>
      </c>
      <c r="C525" s="84"/>
      <c r="D525" s="86"/>
      <c r="E525" s="86"/>
      <c r="F525" s="86"/>
      <c r="G525" s="86"/>
      <c r="H525" s="86"/>
      <c r="I525" s="86"/>
      <c r="J525" s="86"/>
      <c r="K525" s="86">
        <v>100</v>
      </c>
      <c r="L525" s="86"/>
      <c r="M525" s="86"/>
      <c r="N525" s="87"/>
      <c r="O525" s="84"/>
      <c r="P525" s="87"/>
      <c r="Q525" s="84"/>
      <c r="R525" s="87"/>
      <c r="S525" s="84"/>
      <c r="T525" s="87"/>
      <c r="U525" s="84"/>
      <c r="V525" s="84"/>
      <c r="W525" s="87"/>
      <c r="X525" s="84"/>
      <c r="Y525" s="84"/>
      <c r="Z525" s="87"/>
      <c r="AA525" s="84"/>
      <c r="AB525" s="87"/>
      <c r="AC525" s="88"/>
      <c r="AD525" s="83"/>
    </row>
    <row r="526" spans="1:30" ht="65.25" thickBot="1">
      <c r="A526" s="83"/>
      <c r="B526" s="22" t="s">
        <v>29</v>
      </c>
      <c r="C526" s="86">
        <f>SUM(C525)</f>
        <v>0</v>
      </c>
      <c r="D526" s="86">
        <f>SUM(D525)</f>
        <v>0</v>
      </c>
      <c r="E526" s="86">
        <f aca="true" t="shared" si="91" ref="E526:AC526">SUM(E525)</f>
        <v>0</v>
      </c>
      <c r="F526" s="86">
        <f t="shared" si="91"/>
        <v>0</v>
      </c>
      <c r="G526" s="86">
        <f t="shared" si="91"/>
        <v>0</v>
      </c>
      <c r="H526" s="86">
        <f t="shared" si="91"/>
        <v>0</v>
      </c>
      <c r="I526" s="86">
        <f t="shared" si="91"/>
        <v>0</v>
      </c>
      <c r="J526" s="86">
        <f t="shared" si="91"/>
        <v>0</v>
      </c>
      <c r="K526" s="86">
        <f t="shared" si="91"/>
        <v>100</v>
      </c>
      <c r="L526" s="86">
        <f t="shared" si="91"/>
        <v>0</v>
      </c>
      <c r="M526" s="86">
        <f t="shared" si="91"/>
        <v>0</v>
      </c>
      <c r="N526" s="86">
        <f t="shared" si="91"/>
        <v>0</v>
      </c>
      <c r="O526" s="86">
        <f t="shared" si="91"/>
        <v>0</v>
      </c>
      <c r="P526" s="86">
        <f t="shared" si="91"/>
        <v>0</v>
      </c>
      <c r="Q526" s="86">
        <f t="shared" si="91"/>
        <v>0</v>
      </c>
      <c r="R526" s="86">
        <f t="shared" si="91"/>
        <v>0</v>
      </c>
      <c r="S526" s="86">
        <f t="shared" si="91"/>
        <v>0</v>
      </c>
      <c r="T526" s="86">
        <f t="shared" si="91"/>
        <v>0</v>
      </c>
      <c r="U526" s="86">
        <f t="shared" si="91"/>
        <v>0</v>
      </c>
      <c r="V526" s="86">
        <f t="shared" si="91"/>
        <v>0</v>
      </c>
      <c r="W526" s="86">
        <f t="shared" si="91"/>
        <v>0</v>
      </c>
      <c r="X526" s="86">
        <f t="shared" si="91"/>
        <v>0</v>
      </c>
      <c r="Y526" s="86">
        <f t="shared" si="91"/>
        <v>0</v>
      </c>
      <c r="Z526" s="86">
        <f t="shared" si="91"/>
        <v>0</v>
      </c>
      <c r="AA526" s="86">
        <f t="shared" si="91"/>
        <v>0</v>
      </c>
      <c r="AB526" s="86">
        <f t="shared" si="91"/>
        <v>0</v>
      </c>
      <c r="AC526" s="87">
        <f t="shared" si="91"/>
        <v>0</v>
      </c>
      <c r="AD526" s="83">
        <f>SUM(AD525)</f>
        <v>0</v>
      </c>
    </row>
    <row r="527" spans="1:30" ht="65.25" thickBot="1">
      <c r="A527" s="150" t="s">
        <v>8</v>
      </c>
      <c r="B527" s="151"/>
      <c r="C527" s="151"/>
      <c r="D527" s="151"/>
      <c r="E527" s="151"/>
      <c r="F527" s="151"/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/>
      <c r="AC527" s="151"/>
      <c r="AD527" s="152"/>
    </row>
    <row r="528" spans="1:30" ht="194.25" thickBot="1">
      <c r="A528" s="84">
        <v>38</v>
      </c>
      <c r="B528" s="22" t="s">
        <v>269</v>
      </c>
      <c r="C528" s="84"/>
      <c r="D528" s="86"/>
      <c r="E528" s="86"/>
      <c r="F528" s="86"/>
      <c r="G528" s="86"/>
      <c r="H528" s="86"/>
      <c r="I528" s="86"/>
      <c r="J528" s="86">
        <v>35</v>
      </c>
      <c r="K528" s="86"/>
      <c r="L528" s="86"/>
      <c r="M528" s="86"/>
      <c r="N528" s="87"/>
      <c r="O528" s="83"/>
      <c r="P528" s="87"/>
      <c r="Q528" s="83"/>
      <c r="R528" s="87"/>
      <c r="S528" s="83"/>
      <c r="T528" s="87"/>
      <c r="U528" s="84"/>
      <c r="V528" s="83"/>
      <c r="W528" s="87"/>
      <c r="X528" s="84"/>
      <c r="Y528" s="83"/>
      <c r="Z528" s="87"/>
      <c r="AA528" s="83"/>
      <c r="AB528" s="84"/>
      <c r="AC528" s="88"/>
      <c r="AD528" s="83"/>
    </row>
    <row r="529" spans="1:30" ht="261.75" customHeight="1" thickBot="1">
      <c r="A529" s="83">
        <v>83</v>
      </c>
      <c r="B529" s="22" t="s">
        <v>239</v>
      </c>
      <c r="C529" s="84"/>
      <c r="D529" s="86"/>
      <c r="E529" s="86"/>
      <c r="F529" s="86"/>
      <c r="G529" s="86"/>
      <c r="H529" s="86"/>
      <c r="I529" s="86">
        <v>11</v>
      </c>
      <c r="J529" s="86">
        <v>52.1</v>
      </c>
      <c r="K529" s="86"/>
      <c r="L529" s="86"/>
      <c r="M529" s="86"/>
      <c r="N529" s="87"/>
      <c r="O529" s="83">
        <v>0.8</v>
      </c>
      <c r="P529" s="87">
        <v>2</v>
      </c>
      <c r="Q529" s="83"/>
      <c r="R529" s="87"/>
      <c r="S529" s="83"/>
      <c r="T529" s="87"/>
      <c r="U529" s="83"/>
      <c r="V529" s="83">
        <v>10</v>
      </c>
      <c r="W529" s="87"/>
      <c r="X529" s="83"/>
      <c r="Y529" s="84">
        <v>7</v>
      </c>
      <c r="Z529" s="87"/>
      <c r="AA529" s="83"/>
      <c r="AB529" s="83"/>
      <c r="AC529" s="90"/>
      <c r="AD529" s="83"/>
    </row>
    <row r="530" spans="1:30" ht="84.75" customHeight="1" thickBot="1">
      <c r="A530" s="83">
        <v>35</v>
      </c>
      <c r="B530" s="22" t="s">
        <v>168</v>
      </c>
      <c r="C530" s="84"/>
      <c r="D530" s="86"/>
      <c r="E530" s="86">
        <v>1</v>
      </c>
      <c r="F530" s="86"/>
      <c r="G530" s="86"/>
      <c r="H530" s="86"/>
      <c r="I530" s="86"/>
      <c r="J530" s="86">
        <v>8.9</v>
      </c>
      <c r="K530" s="86"/>
      <c r="L530" s="86"/>
      <c r="M530" s="86"/>
      <c r="N530" s="87"/>
      <c r="O530" s="83"/>
      <c r="P530" s="87"/>
      <c r="Q530" s="83">
        <v>3</v>
      </c>
      <c r="R530" s="87"/>
      <c r="S530" s="83"/>
      <c r="T530" s="87"/>
      <c r="U530" s="83"/>
      <c r="V530" s="83">
        <v>50</v>
      </c>
      <c r="W530" s="87"/>
      <c r="X530" s="83"/>
      <c r="Y530" s="83"/>
      <c r="Z530" s="87"/>
      <c r="AA530" s="83"/>
      <c r="AB530" s="83"/>
      <c r="AC530" s="90"/>
      <c r="AD530" s="83"/>
    </row>
    <row r="531" spans="1:30" ht="129.75" thickBot="1">
      <c r="A531" s="94">
        <v>42</v>
      </c>
      <c r="B531" s="75" t="s">
        <v>152</v>
      </c>
      <c r="C531" s="95"/>
      <c r="D531" s="96"/>
      <c r="E531" s="96"/>
      <c r="F531" s="96"/>
      <c r="G531" s="96"/>
      <c r="H531" s="96">
        <v>25</v>
      </c>
      <c r="I531" s="96"/>
      <c r="J531" s="96"/>
      <c r="K531" s="96"/>
      <c r="L531" s="96"/>
      <c r="M531" s="96"/>
      <c r="N531" s="96"/>
      <c r="O531" s="96"/>
      <c r="P531" s="96">
        <v>3</v>
      </c>
      <c r="Q531" s="96"/>
      <c r="R531" s="96"/>
      <c r="S531" s="96"/>
      <c r="T531" s="96"/>
      <c r="U531" s="96"/>
      <c r="V531" s="96"/>
      <c r="W531" s="96"/>
      <c r="X531" s="96"/>
      <c r="Y531" s="96"/>
      <c r="Z531" s="96"/>
      <c r="AA531" s="96"/>
      <c r="AB531" s="96"/>
      <c r="AC531" s="97"/>
      <c r="AD531" s="94"/>
    </row>
    <row r="532" spans="1:30" ht="194.25" thickBot="1">
      <c r="A532" s="83">
        <v>20</v>
      </c>
      <c r="B532" s="22" t="s">
        <v>232</v>
      </c>
      <c r="C532" s="84"/>
      <c r="D532" s="85"/>
      <c r="E532" s="85"/>
      <c r="F532" s="85">
        <v>6.8</v>
      </c>
      <c r="G532" s="85"/>
      <c r="H532" s="86"/>
      <c r="I532" s="86"/>
      <c r="J532" s="86"/>
      <c r="K532" s="86"/>
      <c r="L532" s="86"/>
      <c r="M532" s="86"/>
      <c r="N532" s="87"/>
      <c r="O532" s="84">
        <v>6</v>
      </c>
      <c r="P532" s="87"/>
      <c r="Q532" s="84"/>
      <c r="R532" s="87"/>
      <c r="S532" s="84"/>
      <c r="T532" s="87"/>
      <c r="U532" s="83"/>
      <c r="V532" s="84"/>
      <c r="W532" s="87"/>
      <c r="X532" s="83"/>
      <c r="Y532" s="84"/>
      <c r="Z532" s="84"/>
      <c r="AA532" s="87"/>
      <c r="AB532" s="83"/>
      <c r="AC532" s="88"/>
      <c r="AD532" s="83"/>
    </row>
    <row r="533" spans="1:30" ht="129.75" thickBot="1">
      <c r="A533" s="83" t="s">
        <v>32</v>
      </c>
      <c r="B533" s="22" t="s">
        <v>56</v>
      </c>
      <c r="C533" s="84">
        <v>20</v>
      </c>
      <c r="D533" s="86"/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7"/>
      <c r="U533" s="83"/>
      <c r="V533" s="86"/>
      <c r="W533" s="87"/>
      <c r="X533" s="83"/>
      <c r="Y533" s="86"/>
      <c r="Z533" s="86"/>
      <c r="AA533" s="86"/>
      <c r="AB533" s="86"/>
      <c r="AC533" s="87"/>
      <c r="AD533" s="83"/>
    </row>
    <row r="534" spans="1:30" ht="129.75" thickBot="1">
      <c r="A534" s="83" t="s">
        <v>32</v>
      </c>
      <c r="B534" s="22" t="s">
        <v>58</v>
      </c>
      <c r="C534" s="84"/>
      <c r="D534" s="86">
        <v>40</v>
      </c>
      <c r="E534" s="86"/>
      <c r="F534" s="86"/>
      <c r="G534" s="86"/>
      <c r="H534" s="86"/>
      <c r="I534" s="85"/>
      <c r="J534" s="85"/>
      <c r="K534" s="85"/>
      <c r="L534" s="85"/>
      <c r="M534" s="85"/>
      <c r="N534" s="85"/>
      <c r="O534" s="85"/>
      <c r="P534" s="85"/>
      <c r="Q534" s="85"/>
      <c r="R534" s="85"/>
      <c r="S534" s="85"/>
      <c r="T534" s="85"/>
      <c r="U534" s="85"/>
      <c r="V534" s="85"/>
      <c r="W534" s="85"/>
      <c r="X534" s="85"/>
      <c r="Y534" s="85"/>
      <c r="Z534" s="85"/>
      <c r="AA534" s="85"/>
      <c r="AB534" s="85"/>
      <c r="AC534" s="91"/>
      <c r="AD534" s="84"/>
    </row>
    <row r="535" spans="1:30" ht="94.5" customHeight="1" thickBot="1">
      <c r="A535" s="84"/>
      <c r="B535" s="25" t="s">
        <v>29</v>
      </c>
      <c r="C535" s="84">
        <f aca="true" t="shared" si="92" ref="C535:AD535">SUM(C528:C534)</f>
        <v>20</v>
      </c>
      <c r="D535" s="84">
        <f t="shared" si="92"/>
        <v>40</v>
      </c>
      <c r="E535" s="84">
        <f t="shared" si="92"/>
        <v>1</v>
      </c>
      <c r="F535" s="84">
        <f t="shared" si="92"/>
        <v>6.8</v>
      </c>
      <c r="G535" s="84">
        <f t="shared" si="92"/>
        <v>0</v>
      </c>
      <c r="H535" s="84">
        <f t="shared" si="92"/>
        <v>25</v>
      </c>
      <c r="I535" s="84">
        <f t="shared" si="92"/>
        <v>11</v>
      </c>
      <c r="J535" s="84">
        <f t="shared" si="92"/>
        <v>96</v>
      </c>
      <c r="K535" s="84">
        <f t="shared" si="92"/>
        <v>0</v>
      </c>
      <c r="L535" s="84">
        <f t="shared" si="92"/>
        <v>0</v>
      </c>
      <c r="M535" s="84">
        <f t="shared" si="92"/>
        <v>0</v>
      </c>
      <c r="N535" s="84">
        <f t="shared" si="92"/>
        <v>0</v>
      </c>
      <c r="O535" s="84">
        <f t="shared" si="92"/>
        <v>6.8</v>
      </c>
      <c r="P535" s="84">
        <f t="shared" si="92"/>
        <v>5</v>
      </c>
      <c r="Q535" s="84">
        <f t="shared" si="92"/>
        <v>3</v>
      </c>
      <c r="R535" s="84">
        <f t="shared" si="92"/>
        <v>0</v>
      </c>
      <c r="S535" s="84">
        <f t="shared" si="92"/>
        <v>0</v>
      </c>
      <c r="T535" s="84">
        <f t="shared" si="92"/>
        <v>0</v>
      </c>
      <c r="U535" s="84">
        <f t="shared" si="92"/>
        <v>0</v>
      </c>
      <c r="V535" s="84">
        <f t="shared" si="92"/>
        <v>60</v>
      </c>
      <c r="W535" s="84">
        <f t="shared" si="92"/>
        <v>0</v>
      </c>
      <c r="X535" s="84">
        <f t="shared" si="92"/>
        <v>0</v>
      </c>
      <c r="Y535" s="84">
        <f t="shared" si="92"/>
        <v>7</v>
      </c>
      <c r="Z535" s="84">
        <f t="shared" si="92"/>
        <v>0</v>
      </c>
      <c r="AA535" s="84">
        <f t="shared" si="92"/>
        <v>0</v>
      </c>
      <c r="AB535" s="84">
        <f t="shared" si="92"/>
        <v>0</v>
      </c>
      <c r="AC535" s="88">
        <f t="shared" si="92"/>
        <v>0</v>
      </c>
      <c r="AD535" s="84">
        <f t="shared" si="92"/>
        <v>0</v>
      </c>
    </row>
    <row r="536" spans="1:30" ht="46.5" customHeight="1" thickBot="1">
      <c r="A536" s="150" t="s">
        <v>145</v>
      </c>
      <c r="B536" s="151"/>
      <c r="C536" s="151"/>
      <c r="D536" s="151"/>
      <c r="E536" s="151"/>
      <c r="F536" s="151"/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/>
      <c r="AC536" s="151"/>
      <c r="AD536" s="152"/>
    </row>
    <row r="537" spans="1:30" ht="172.5" customHeight="1" thickBot="1">
      <c r="A537" s="92">
        <v>21.1</v>
      </c>
      <c r="B537" s="27" t="s">
        <v>172</v>
      </c>
      <c r="C537" s="83"/>
      <c r="D537" s="86"/>
      <c r="E537" s="83"/>
      <c r="F537" s="83"/>
      <c r="G537" s="83"/>
      <c r="H537" s="86"/>
      <c r="I537" s="86"/>
      <c r="J537" s="86"/>
      <c r="K537" s="86"/>
      <c r="L537" s="86"/>
      <c r="M537" s="86"/>
      <c r="N537" s="87"/>
      <c r="O537" s="84"/>
      <c r="P537" s="87"/>
      <c r="Q537" s="84"/>
      <c r="R537" s="87"/>
      <c r="S537" s="84">
        <v>155</v>
      </c>
      <c r="T537" s="87"/>
      <c r="U537" s="84"/>
      <c r="V537" s="84"/>
      <c r="W537" s="87"/>
      <c r="X537" s="84"/>
      <c r="Y537" s="84"/>
      <c r="Z537" s="87"/>
      <c r="AA537" s="84"/>
      <c r="AB537" s="84"/>
      <c r="AC537" s="88"/>
      <c r="AD537" s="83"/>
    </row>
    <row r="538" spans="1:30" ht="208.5" customHeight="1" thickBot="1">
      <c r="A538" s="83">
        <v>24</v>
      </c>
      <c r="B538" s="22" t="s">
        <v>105</v>
      </c>
      <c r="C538" s="84"/>
      <c r="D538" s="86"/>
      <c r="E538" s="86"/>
      <c r="F538" s="86"/>
      <c r="G538" s="86"/>
      <c r="H538" s="86"/>
      <c r="I538" s="86"/>
      <c r="J538" s="86"/>
      <c r="K538" s="86"/>
      <c r="L538" s="86"/>
      <c r="M538" s="86"/>
      <c r="N538" s="86">
        <v>30</v>
      </c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7"/>
      <c r="AD538" s="83"/>
    </row>
    <row r="539" spans="1:30" ht="85.5" customHeight="1" thickBot="1">
      <c r="A539" s="84"/>
      <c r="B539" s="25" t="s">
        <v>29</v>
      </c>
      <c r="C539" s="84">
        <f aca="true" t="shared" si="93" ref="C539:AD539">C537+C538</f>
        <v>0</v>
      </c>
      <c r="D539" s="84">
        <f t="shared" si="93"/>
        <v>0</v>
      </c>
      <c r="E539" s="84">
        <f t="shared" si="93"/>
        <v>0</v>
      </c>
      <c r="F539" s="84">
        <f t="shared" si="93"/>
        <v>0</v>
      </c>
      <c r="G539" s="84">
        <f t="shared" si="93"/>
        <v>0</v>
      </c>
      <c r="H539" s="84">
        <f t="shared" si="93"/>
        <v>0</v>
      </c>
      <c r="I539" s="84">
        <f t="shared" si="93"/>
        <v>0</v>
      </c>
      <c r="J539" s="84">
        <f t="shared" si="93"/>
        <v>0</v>
      </c>
      <c r="K539" s="84">
        <f t="shared" si="93"/>
        <v>0</v>
      </c>
      <c r="L539" s="84">
        <f t="shared" si="93"/>
        <v>0</v>
      </c>
      <c r="M539" s="84">
        <f t="shared" si="93"/>
        <v>0</v>
      </c>
      <c r="N539" s="84">
        <f t="shared" si="93"/>
        <v>30</v>
      </c>
      <c r="O539" s="84">
        <f t="shared" si="93"/>
        <v>0</v>
      </c>
      <c r="P539" s="84">
        <f t="shared" si="93"/>
        <v>0</v>
      </c>
      <c r="Q539" s="84">
        <f t="shared" si="93"/>
        <v>0</v>
      </c>
      <c r="R539" s="84">
        <f t="shared" si="93"/>
        <v>0</v>
      </c>
      <c r="S539" s="84">
        <f t="shared" si="93"/>
        <v>155</v>
      </c>
      <c r="T539" s="84">
        <f t="shared" si="93"/>
        <v>0</v>
      </c>
      <c r="U539" s="84">
        <f t="shared" si="93"/>
        <v>0</v>
      </c>
      <c r="V539" s="84">
        <f t="shared" si="93"/>
        <v>0</v>
      </c>
      <c r="W539" s="84">
        <f t="shared" si="93"/>
        <v>0</v>
      </c>
      <c r="X539" s="84">
        <f t="shared" si="93"/>
        <v>0</v>
      </c>
      <c r="Y539" s="84">
        <f t="shared" si="93"/>
        <v>0</v>
      </c>
      <c r="Z539" s="84">
        <f t="shared" si="93"/>
        <v>0</v>
      </c>
      <c r="AA539" s="84">
        <f t="shared" si="93"/>
        <v>0</v>
      </c>
      <c r="AB539" s="84">
        <f t="shared" si="93"/>
        <v>0</v>
      </c>
      <c r="AC539" s="88">
        <f t="shared" si="93"/>
        <v>0</v>
      </c>
      <c r="AD539" s="84">
        <f t="shared" si="93"/>
        <v>0</v>
      </c>
    </row>
    <row r="540" spans="1:33" ht="65.25" thickBot="1">
      <c r="A540" s="150" t="s">
        <v>144</v>
      </c>
      <c r="B540" s="151"/>
      <c r="C540" s="151"/>
      <c r="D540" s="151"/>
      <c r="E540" s="151"/>
      <c r="F540" s="151"/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/>
      <c r="AC540" s="151"/>
      <c r="AD540" s="152"/>
      <c r="AE540" s="82"/>
      <c r="AF540" s="82"/>
      <c r="AG540" s="82"/>
    </row>
    <row r="541" spans="1:30" ht="65.25" thickBot="1">
      <c r="A541" s="83">
        <v>73</v>
      </c>
      <c r="B541" s="22" t="s">
        <v>212</v>
      </c>
      <c r="C541" s="83">
        <v>13</v>
      </c>
      <c r="D541" s="86"/>
      <c r="E541" s="86"/>
      <c r="F541" s="86"/>
      <c r="G541" s="86">
        <v>13</v>
      </c>
      <c r="H541" s="86"/>
      <c r="I541" s="86">
        <v>66</v>
      </c>
      <c r="J541" s="86">
        <v>230</v>
      </c>
      <c r="K541" s="86"/>
      <c r="L541" s="86"/>
      <c r="M541" s="86"/>
      <c r="N541" s="86"/>
      <c r="O541" s="86"/>
      <c r="P541" s="86">
        <v>3</v>
      </c>
      <c r="Q541" s="86">
        <v>5</v>
      </c>
      <c r="R541" s="86">
        <v>10</v>
      </c>
      <c r="S541" s="86"/>
      <c r="T541" s="86"/>
      <c r="U541" s="86"/>
      <c r="V541" s="86"/>
      <c r="W541" s="86"/>
      <c r="X541" s="86"/>
      <c r="Y541" s="86">
        <v>6</v>
      </c>
      <c r="Z541" s="86"/>
      <c r="AA541" s="86"/>
      <c r="AB541" s="86"/>
      <c r="AC541" s="87"/>
      <c r="AD541" s="83"/>
    </row>
    <row r="542" spans="1:30" ht="129.75" thickBot="1">
      <c r="A542" s="83" t="s">
        <v>32</v>
      </c>
      <c r="B542" s="22" t="s">
        <v>56</v>
      </c>
      <c r="C542" s="86">
        <v>15</v>
      </c>
      <c r="D542" s="86"/>
      <c r="E542" s="86"/>
      <c r="F542" s="86"/>
      <c r="G542" s="86"/>
      <c r="H542" s="86"/>
      <c r="I542" s="86"/>
      <c r="J542" s="86"/>
      <c r="K542" s="86"/>
      <c r="L542" s="86"/>
      <c r="M542" s="86"/>
      <c r="N542" s="86"/>
      <c r="O542" s="86"/>
      <c r="P542" s="86"/>
      <c r="Q542" s="86"/>
      <c r="R542" s="86"/>
      <c r="S542" s="86"/>
      <c r="T542" s="87"/>
      <c r="U542" s="83"/>
      <c r="V542" s="86"/>
      <c r="W542" s="87"/>
      <c r="X542" s="83"/>
      <c r="Y542" s="86"/>
      <c r="Z542" s="86"/>
      <c r="AA542" s="86"/>
      <c r="AB542" s="86"/>
      <c r="AC542" s="87"/>
      <c r="AD542" s="83"/>
    </row>
    <row r="543" spans="1:30" ht="87.75" customHeight="1" thickBot="1">
      <c r="A543" s="83">
        <v>69</v>
      </c>
      <c r="B543" s="22" t="s">
        <v>106</v>
      </c>
      <c r="C543" s="84"/>
      <c r="D543" s="86"/>
      <c r="E543" s="86"/>
      <c r="F543" s="86"/>
      <c r="G543" s="86"/>
      <c r="H543" s="86"/>
      <c r="I543" s="86"/>
      <c r="J543" s="86"/>
      <c r="K543" s="86"/>
      <c r="L543" s="86">
        <v>85</v>
      </c>
      <c r="M543" s="8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7"/>
      <c r="AD543" s="84"/>
    </row>
    <row r="544" spans="1:30" ht="129.75" thickBot="1">
      <c r="A544" s="83">
        <v>2</v>
      </c>
      <c r="B544" s="22" t="s">
        <v>69</v>
      </c>
      <c r="C544" s="84"/>
      <c r="D544" s="86"/>
      <c r="E544" s="86"/>
      <c r="F544" s="86"/>
      <c r="G544" s="86"/>
      <c r="H544" s="86"/>
      <c r="I544" s="86"/>
      <c r="J544" s="86"/>
      <c r="K544" s="86"/>
      <c r="L544" s="86"/>
      <c r="M544" s="86"/>
      <c r="N544" s="83"/>
      <c r="O544" s="84">
        <v>8</v>
      </c>
      <c r="P544" s="83"/>
      <c r="Q544" s="87"/>
      <c r="R544" s="83"/>
      <c r="S544" s="84">
        <v>90</v>
      </c>
      <c r="T544" s="83"/>
      <c r="U544" s="87"/>
      <c r="V544" s="83"/>
      <c r="W544" s="87"/>
      <c r="X544" s="83"/>
      <c r="Y544" s="87"/>
      <c r="Z544" s="83"/>
      <c r="AA544" s="87"/>
      <c r="AB544" s="83">
        <v>2</v>
      </c>
      <c r="AC544" s="90"/>
      <c r="AD544" s="84"/>
    </row>
    <row r="545" spans="1:30" ht="65.25" thickBot="1">
      <c r="A545" s="80"/>
      <c r="B545" s="22" t="s">
        <v>6</v>
      </c>
      <c r="C545" s="84">
        <f aca="true" t="shared" si="94" ref="C545:AD545">SUM(C541:C544)</f>
        <v>28</v>
      </c>
      <c r="D545" s="84">
        <f t="shared" si="94"/>
        <v>0</v>
      </c>
      <c r="E545" s="84">
        <f t="shared" si="94"/>
        <v>0</v>
      </c>
      <c r="F545" s="84">
        <f t="shared" si="94"/>
        <v>0</v>
      </c>
      <c r="G545" s="84">
        <f t="shared" si="94"/>
        <v>13</v>
      </c>
      <c r="H545" s="84">
        <f t="shared" si="94"/>
        <v>0</v>
      </c>
      <c r="I545" s="84">
        <f t="shared" si="94"/>
        <v>66</v>
      </c>
      <c r="J545" s="84">
        <f t="shared" si="94"/>
        <v>230</v>
      </c>
      <c r="K545" s="84">
        <f t="shared" si="94"/>
        <v>0</v>
      </c>
      <c r="L545" s="84">
        <f t="shared" si="94"/>
        <v>85</v>
      </c>
      <c r="M545" s="84">
        <f t="shared" si="94"/>
        <v>0</v>
      </c>
      <c r="N545" s="84">
        <f t="shared" si="94"/>
        <v>0</v>
      </c>
      <c r="O545" s="84">
        <f t="shared" si="94"/>
        <v>8</v>
      </c>
      <c r="P545" s="84">
        <f t="shared" si="94"/>
        <v>3</v>
      </c>
      <c r="Q545" s="84">
        <f t="shared" si="94"/>
        <v>5</v>
      </c>
      <c r="R545" s="84">
        <f t="shared" si="94"/>
        <v>10</v>
      </c>
      <c r="S545" s="84">
        <f t="shared" si="94"/>
        <v>90</v>
      </c>
      <c r="T545" s="84">
        <f t="shared" si="94"/>
        <v>0</v>
      </c>
      <c r="U545" s="84">
        <f t="shared" si="94"/>
        <v>0</v>
      </c>
      <c r="V545" s="84">
        <f t="shared" si="94"/>
        <v>0</v>
      </c>
      <c r="W545" s="84">
        <f t="shared" si="94"/>
        <v>0</v>
      </c>
      <c r="X545" s="84">
        <f t="shared" si="94"/>
        <v>0</v>
      </c>
      <c r="Y545" s="84">
        <f t="shared" si="94"/>
        <v>6</v>
      </c>
      <c r="Z545" s="84">
        <f t="shared" si="94"/>
        <v>0</v>
      </c>
      <c r="AA545" s="84">
        <f t="shared" si="94"/>
        <v>0</v>
      </c>
      <c r="AB545" s="84">
        <f t="shared" si="94"/>
        <v>2</v>
      </c>
      <c r="AC545" s="88">
        <f t="shared" si="94"/>
        <v>0</v>
      </c>
      <c r="AD545" s="84">
        <f t="shared" si="94"/>
        <v>0</v>
      </c>
    </row>
    <row r="546" spans="1:30" ht="143.25" customHeight="1" thickBot="1">
      <c r="A546" s="145"/>
      <c r="B546" s="22" t="s">
        <v>148</v>
      </c>
      <c r="C546" s="84"/>
      <c r="D546" s="84"/>
      <c r="E546" s="84"/>
      <c r="F546" s="84"/>
      <c r="G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  <c r="S546" s="84"/>
      <c r="T546" s="84"/>
      <c r="U546" s="84"/>
      <c r="V546" s="84"/>
      <c r="W546" s="84"/>
      <c r="X546" s="84"/>
      <c r="Y546" s="84"/>
      <c r="Z546" s="84"/>
      <c r="AA546" s="84"/>
      <c r="AB546" s="84"/>
      <c r="AC546" s="88"/>
      <c r="AD546" s="84"/>
    </row>
    <row r="547" spans="1:30" ht="65.25" thickBot="1">
      <c r="A547" s="83"/>
      <c r="B547" s="93" t="s">
        <v>10</v>
      </c>
      <c r="C547" s="84">
        <f aca="true" t="shared" si="95" ref="C547:AD547">C523+C526+C535+C539+C545</f>
        <v>78</v>
      </c>
      <c r="D547" s="84">
        <f t="shared" si="95"/>
        <v>40</v>
      </c>
      <c r="E547" s="84">
        <f t="shared" si="95"/>
        <v>1</v>
      </c>
      <c r="F547" s="84">
        <f t="shared" si="95"/>
        <v>6.8</v>
      </c>
      <c r="G547" s="84">
        <f t="shared" si="95"/>
        <v>54</v>
      </c>
      <c r="H547" s="84">
        <f t="shared" si="95"/>
        <v>25</v>
      </c>
      <c r="I547" s="84">
        <f t="shared" si="95"/>
        <v>77</v>
      </c>
      <c r="J547" s="84">
        <f t="shared" si="95"/>
        <v>326</v>
      </c>
      <c r="K547" s="84">
        <f t="shared" si="95"/>
        <v>100</v>
      </c>
      <c r="L547" s="84">
        <f t="shared" si="95"/>
        <v>85</v>
      </c>
      <c r="M547" s="84">
        <f t="shared" si="95"/>
        <v>7</v>
      </c>
      <c r="N547" s="84">
        <f t="shared" si="95"/>
        <v>45</v>
      </c>
      <c r="O547" s="84">
        <f t="shared" si="95"/>
        <v>29.8</v>
      </c>
      <c r="P547" s="84">
        <f t="shared" si="95"/>
        <v>17</v>
      </c>
      <c r="Q547" s="84">
        <f t="shared" si="95"/>
        <v>8</v>
      </c>
      <c r="R547" s="84">
        <f t="shared" si="95"/>
        <v>10</v>
      </c>
      <c r="S547" s="84">
        <f t="shared" si="95"/>
        <v>245</v>
      </c>
      <c r="T547" s="84">
        <f t="shared" si="95"/>
        <v>0</v>
      </c>
      <c r="U547" s="84">
        <f t="shared" si="95"/>
        <v>0</v>
      </c>
      <c r="V547" s="84">
        <f t="shared" si="95"/>
        <v>60</v>
      </c>
      <c r="W547" s="84">
        <f t="shared" si="95"/>
        <v>0</v>
      </c>
      <c r="X547" s="84">
        <f t="shared" si="95"/>
        <v>0</v>
      </c>
      <c r="Y547" s="84">
        <f t="shared" si="95"/>
        <v>13</v>
      </c>
      <c r="Z547" s="84">
        <f t="shared" si="95"/>
        <v>0</v>
      </c>
      <c r="AA547" s="84">
        <f t="shared" si="95"/>
        <v>0.48</v>
      </c>
      <c r="AB547" s="84">
        <f t="shared" si="95"/>
        <v>2</v>
      </c>
      <c r="AC547" s="88">
        <f t="shared" si="95"/>
        <v>0</v>
      </c>
      <c r="AD547" s="84">
        <f t="shared" si="95"/>
        <v>0</v>
      </c>
    </row>
    <row r="548" spans="1:30" ht="65.25" thickBot="1">
      <c r="A548" s="150" t="s">
        <v>62</v>
      </c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  <c r="AC548" s="151"/>
      <c r="AD548" s="152"/>
    </row>
    <row r="549" spans="1:30" ht="65.25" thickBot="1">
      <c r="A549" s="150" t="s">
        <v>93</v>
      </c>
      <c r="B549" s="151"/>
      <c r="C549" s="151"/>
      <c r="D549" s="151"/>
      <c r="E549" s="151"/>
      <c r="F549" s="151"/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/>
      <c r="AC549" s="151"/>
      <c r="AD549" s="151"/>
    </row>
    <row r="550" spans="1:30" ht="46.5" customHeight="1">
      <c r="A550" s="166" t="s">
        <v>30</v>
      </c>
      <c r="B550" s="168" t="s">
        <v>23</v>
      </c>
      <c r="C550" s="153" t="s">
        <v>116</v>
      </c>
      <c r="D550" s="153" t="s">
        <v>117</v>
      </c>
      <c r="E550" s="153" t="s">
        <v>118</v>
      </c>
      <c r="F550" s="153" t="s">
        <v>119</v>
      </c>
      <c r="G550" s="153" t="s">
        <v>120</v>
      </c>
      <c r="H550" s="153" t="s">
        <v>121</v>
      </c>
      <c r="I550" s="153" t="s">
        <v>110</v>
      </c>
      <c r="J550" s="153" t="s">
        <v>257</v>
      </c>
      <c r="K550" s="140"/>
      <c r="L550" s="153" t="s">
        <v>142</v>
      </c>
      <c r="M550" s="153" t="s">
        <v>79</v>
      </c>
      <c r="N550" s="153" t="s">
        <v>123</v>
      </c>
      <c r="O550" s="153" t="s">
        <v>80</v>
      </c>
      <c r="P550" s="153" t="s">
        <v>124</v>
      </c>
      <c r="Q550" s="153" t="s">
        <v>81</v>
      </c>
      <c r="R550" s="153" t="s">
        <v>125</v>
      </c>
      <c r="S550" s="153" t="s">
        <v>126</v>
      </c>
      <c r="T550" s="153" t="s">
        <v>127</v>
      </c>
      <c r="U550" s="140"/>
      <c r="V550" s="153" t="s">
        <v>113</v>
      </c>
      <c r="W550" s="153" t="s">
        <v>129</v>
      </c>
      <c r="X550" s="153" t="s">
        <v>84</v>
      </c>
      <c r="Y550" s="153" t="s">
        <v>82</v>
      </c>
      <c r="Z550" s="153" t="s">
        <v>83</v>
      </c>
      <c r="AA550" s="153" t="s">
        <v>85</v>
      </c>
      <c r="AB550" s="140"/>
      <c r="AC550" s="158" t="s">
        <v>78</v>
      </c>
      <c r="AD550" s="153" t="s">
        <v>138</v>
      </c>
    </row>
    <row r="551" spans="1:30" ht="406.5" customHeight="1" thickBot="1">
      <c r="A551" s="167"/>
      <c r="B551" s="169"/>
      <c r="C551" s="154"/>
      <c r="D551" s="154"/>
      <c r="E551" s="154"/>
      <c r="F551" s="154"/>
      <c r="G551" s="154"/>
      <c r="H551" s="154"/>
      <c r="I551" s="154"/>
      <c r="J551" s="154"/>
      <c r="K551" s="141" t="s">
        <v>122</v>
      </c>
      <c r="L551" s="154"/>
      <c r="M551" s="154"/>
      <c r="N551" s="154"/>
      <c r="O551" s="154"/>
      <c r="P551" s="154"/>
      <c r="Q551" s="154"/>
      <c r="R551" s="154"/>
      <c r="S551" s="154"/>
      <c r="T551" s="154"/>
      <c r="U551" s="141" t="s">
        <v>128</v>
      </c>
      <c r="V551" s="154"/>
      <c r="W551" s="154"/>
      <c r="X551" s="154"/>
      <c r="Y551" s="154"/>
      <c r="Z551" s="154"/>
      <c r="AA551" s="154"/>
      <c r="AB551" s="141" t="s">
        <v>77</v>
      </c>
      <c r="AC551" s="159"/>
      <c r="AD551" s="154"/>
    </row>
    <row r="552" spans="1:30" ht="65.25" thickBot="1">
      <c r="A552" s="145">
        <v>1</v>
      </c>
      <c r="B552" s="79">
        <v>2</v>
      </c>
      <c r="C552" s="80" t="s">
        <v>54</v>
      </c>
      <c r="D552" s="81">
        <v>4</v>
      </c>
      <c r="E552" s="80">
        <v>5</v>
      </c>
      <c r="F552" s="80">
        <v>6</v>
      </c>
      <c r="G552" s="80">
        <v>7</v>
      </c>
      <c r="H552" s="80">
        <v>8</v>
      </c>
      <c r="I552" s="80" t="s">
        <v>55</v>
      </c>
      <c r="J552" s="81">
        <v>10</v>
      </c>
      <c r="K552" s="80">
        <v>11</v>
      </c>
      <c r="L552" s="80">
        <v>12</v>
      </c>
      <c r="M552" s="80">
        <v>13</v>
      </c>
      <c r="N552" s="80">
        <v>14</v>
      </c>
      <c r="O552" s="80">
        <v>15</v>
      </c>
      <c r="P552" s="143">
        <v>16</v>
      </c>
      <c r="Q552" s="80">
        <v>17</v>
      </c>
      <c r="R552" s="143">
        <v>18</v>
      </c>
      <c r="S552" s="80">
        <v>19</v>
      </c>
      <c r="T552" s="143">
        <v>20</v>
      </c>
      <c r="U552" s="143">
        <v>21</v>
      </c>
      <c r="V552" s="80">
        <v>22</v>
      </c>
      <c r="W552" s="80">
        <v>23</v>
      </c>
      <c r="X552" s="143">
        <v>24</v>
      </c>
      <c r="Y552" s="80">
        <v>25</v>
      </c>
      <c r="Z552" s="80">
        <v>26</v>
      </c>
      <c r="AA552" s="80">
        <v>27</v>
      </c>
      <c r="AB552" s="143">
        <v>28</v>
      </c>
      <c r="AC552" s="142">
        <v>29</v>
      </c>
      <c r="AD552" s="80">
        <v>31</v>
      </c>
    </row>
    <row r="553" spans="1:30" ht="65.25" thickBot="1">
      <c r="A553" s="150" t="s">
        <v>5</v>
      </c>
      <c r="B553" s="151"/>
      <c r="C553" s="151"/>
      <c r="D553" s="151"/>
      <c r="E553" s="151"/>
      <c r="F553" s="151"/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/>
      <c r="AC553" s="151"/>
      <c r="AD553" s="152"/>
    </row>
    <row r="554" spans="1:30" ht="129.75" thickBot="1">
      <c r="A554" s="84">
        <v>32</v>
      </c>
      <c r="B554" s="25" t="s">
        <v>218</v>
      </c>
      <c r="C554" s="84"/>
      <c r="D554" s="85"/>
      <c r="E554" s="85"/>
      <c r="F554" s="85"/>
      <c r="G554" s="85">
        <v>15</v>
      </c>
      <c r="H554" s="86"/>
      <c r="I554" s="86"/>
      <c r="J554" s="86"/>
      <c r="K554" s="86"/>
      <c r="L554" s="86"/>
      <c r="M554" s="86"/>
      <c r="N554" s="86"/>
      <c r="O554" s="86">
        <v>4</v>
      </c>
      <c r="P554" s="86">
        <v>2</v>
      </c>
      <c r="Q554" s="86"/>
      <c r="R554" s="86"/>
      <c r="S554" s="86">
        <v>113</v>
      </c>
      <c r="T554" s="87"/>
      <c r="U554" s="84"/>
      <c r="V554" s="87"/>
      <c r="W554" s="84"/>
      <c r="X554" s="86"/>
      <c r="Y554" s="86"/>
      <c r="Z554" s="86"/>
      <c r="AA554" s="86"/>
      <c r="AB554" s="86"/>
      <c r="AC554" s="87"/>
      <c r="AD554" s="83"/>
    </row>
    <row r="555" spans="1:30" ht="65.25" thickBot="1">
      <c r="A555" s="84">
        <v>15</v>
      </c>
      <c r="B555" s="23" t="s">
        <v>224</v>
      </c>
      <c r="C555" s="84"/>
      <c r="D555" s="85"/>
      <c r="E555" s="85"/>
      <c r="F555" s="85"/>
      <c r="G555" s="85"/>
      <c r="H555" s="86"/>
      <c r="I555" s="86"/>
      <c r="J555" s="86"/>
      <c r="K555" s="86"/>
      <c r="L555" s="86"/>
      <c r="M555" s="86"/>
      <c r="N555" s="87"/>
      <c r="O555" s="84">
        <v>8</v>
      </c>
      <c r="P555" s="87"/>
      <c r="Q555" s="84"/>
      <c r="R555" s="87"/>
      <c r="S555" s="84">
        <v>90</v>
      </c>
      <c r="T555" s="84"/>
      <c r="U555" s="87"/>
      <c r="V555" s="84"/>
      <c r="W555" s="87"/>
      <c r="X555" s="84"/>
      <c r="Y555" s="84"/>
      <c r="Z555" s="87"/>
      <c r="AA555" s="84"/>
      <c r="AB555" s="84"/>
      <c r="AC555" s="90">
        <v>1.1</v>
      </c>
      <c r="AD555" s="83"/>
    </row>
    <row r="556" spans="1:30" ht="65.25" thickBot="1">
      <c r="A556" s="83">
        <v>16</v>
      </c>
      <c r="B556" s="22" t="s">
        <v>36</v>
      </c>
      <c r="C556" s="86">
        <v>30</v>
      </c>
      <c r="D556" s="85"/>
      <c r="E556" s="85"/>
      <c r="F556" s="85"/>
      <c r="G556" s="85"/>
      <c r="H556" s="86"/>
      <c r="I556" s="86"/>
      <c r="J556" s="86"/>
      <c r="K556" s="86"/>
      <c r="L556" s="86"/>
      <c r="M556" s="86"/>
      <c r="N556" s="87"/>
      <c r="O556" s="84"/>
      <c r="P556" s="84">
        <v>5</v>
      </c>
      <c r="Q556" s="84"/>
      <c r="R556" s="87"/>
      <c r="S556" s="84"/>
      <c r="T556" s="87"/>
      <c r="U556" s="83"/>
      <c r="V556" s="84"/>
      <c r="W556" s="83"/>
      <c r="X556" s="87"/>
      <c r="Y556" s="84"/>
      <c r="Z556" s="84"/>
      <c r="AA556" s="87"/>
      <c r="AB556" s="83"/>
      <c r="AC556" s="88"/>
      <c r="AD556" s="84"/>
    </row>
    <row r="557" spans="1:30" ht="65.25" thickBot="1">
      <c r="A557" s="83"/>
      <c r="B557" s="22" t="s">
        <v>6</v>
      </c>
      <c r="C557" s="84">
        <f>SUM(C554+C555+C556)</f>
        <v>30</v>
      </c>
      <c r="D557" s="84">
        <f aca="true" t="shared" si="96" ref="D557:AD557">SUM(D554+D555+D556)</f>
        <v>0</v>
      </c>
      <c r="E557" s="84">
        <f t="shared" si="96"/>
        <v>0</v>
      </c>
      <c r="F557" s="84">
        <f t="shared" si="96"/>
        <v>0</v>
      </c>
      <c r="G557" s="84">
        <f t="shared" si="96"/>
        <v>15</v>
      </c>
      <c r="H557" s="84">
        <f t="shared" si="96"/>
        <v>0</v>
      </c>
      <c r="I557" s="84">
        <f t="shared" si="96"/>
        <v>0</v>
      </c>
      <c r="J557" s="84">
        <f t="shared" si="96"/>
        <v>0</v>
      </c>
      <c r="K557" s="84">
        <f t="shared" si="96"/>
        <v>0</v>
      </c>
      <c r="L557" s="84">
        <f t="shared" si="96"/>
        <v>0</v>
      </c>
      <c r="M557" s="84">
        <f t="shared" si="96"/>
        <v>0</v>
      </c>
      <c r="N557" s="84">
        <f t="shared" si="96"/>
        <v>0</v>
      </c>
      <c r="O557" s="84">
        <f t="shared" si="96"/>
        <v>12</v>
      </c>
      <c r="P557" s="84">
        <f t="shared" si="96"/>
        <v>7</v>
      </c>
      <c r="Q557" s="84">
        <f t="shared" si="96"/>
        <v>0</v>
      </c>
      <c r="R557" s="84">
        <f t="shared" si="96"/>
        <v>0</v>
      </c>
      <c r="S557" s="84">
        <f t="shared" si="96"/>
        <v>203</v>
      </c>
      <c r="T557" s="84">
        <f t="shared" si="96"/>
        <v>0</v>
      </c>
      <c r="U557" s="84">
        <f t="shared" si="96"/>
        <v>0</v>
      </c>
      <c r="V557" s="84">
        <f t="shared" si="96"/>
        <v>0</v>
      </c>
      <c r="W557" s="84">
        <f t="shared" si="96"/>
        <v>0</v>
      </c>
      <c r="X557" s="84">
        <f t="shared" si="96"/>
        <v>0</v>
      </c>
      <c r="Y557" s="84">
        <f t="shared" si="96"/>
        <v>0</v>
      </c>
      <c r="Z557" s="84">
        <f t="shared" si="96"/>
        <v>0</v>
      </c>
      <c r="AA557" s="84">
        <f t="shared" si="96"/>
        <v>0</v>
      </c>
      <c r="AB557" s="84">
        <f t="shared" si="96"/>
        <v>0</v>
      </c>
      <c r="AC557" s="88">
        <f t="shared" si="96"/>
        <v>1.1</v>
      </c>
      <c r="AD557" s="84">
        <f t="shared" si="96"/>
        <v>0</v>
      </c>
    </row>
    <row r="558" spans="1:30" ht="65.25" thickBot="1">
      <c r="A558" s="155" t="s">
        <v>53</v>
      </c>
      <c r="B558" s="156"/>
      <c r="C558" s="156"/>
      <c r="D558" s="156"/>
      <c r="E558" s="156"/>
      <c r="F558" s="156"/>
      <c r="G558" s="156"/>
      <c r="H558" s="156"/>
      <c r="I558" s="156"/>
      <c r="J558" s="156"/>
      <c r="K558" s="156"/>
      <c r="L558" s="156"/>
      <c r="M558" s="156"/>
      <c r="N558" s="156"/>
      <c r="O558" s="156"/>
      <c r="P558" s="156"/>
      <c r="Q558" s="156"/>
      <c r="R558" s="156"/>
      <c r="S558" s="156"/>
      <c r="T558" s="156"/>
      <c r="U558" s="156"/>
      <c r="V558" s="156"/>
      <c r="W558" s="156"/>
      <c r="X558" s="156"/>
      <c r="Y558" s="156"/>
      <c r="Z558" s="156"/>
      <c r="AA558" s="156"/>
      <c r="AB558" s="156"/>
      <c r="AC558" s="156"/>
      <c r="AD558" s="157"/>
    </row>
    <row r="559" spans="1:30" ht="65.25" thickBot="1">
      <c r="A559" s="83" t="s">
        <v>32</v>
      </c>
      <c r="B559" s="25" t="s">
        <v>182</v>
      </c>
      <c r="C559" s="84"/>
      <c r="D559" s="86"/>
      <c r="E559" s="86"/>
      <c r="F559" s="86"/>
      <c r="G559" s="86"/>
      <c r="H559" s="86"/>
      <c r="I559" s="86"/>
      <c r="J559" s="86"/>
      <c r="K559" s="86">
        <v>100</v>
      </c>
      <c r="L559" s="86"/>
      <c r="M559" s="86"/>
      <c r="N559" s="87"/>
      <c r="O559" s="84"/>
      <c r="P559" s="87"/>
      <c r="Q559" s="84"/>
      <c r="R559" s="87"/>
      <c r="S559" s="84"/>
      <c r="T559" s="87"/>
      <c r="U559" s="84"/>
      <c r="V559" s="84"/>
      <c r="W559" s="87"/>
      <c r="X559" s="84"/>
      <c r="Y559" s="84"/>
      <c r="Z559" s="87"/>
      <c r="AA559" s="84"/>
      <c r="AB559" s="87"/>
      <c r="AC559" s="88"/>
      <c r="AD559" s="83"/>
    </row>
    <row r="560" spans="1:30" ht="65.25" thickBot="1">
      <c r="A560" s="83"/>
      <c r="B560" s="22" t="s">
        <v>29</v>
      </c>
      <c r="C560" s="86">
        <f>SUM(C559)</f>
        <v>0</v>
      </c>
      <c r="D560" s="86">
        <f>SUM(D559)</f>
        <v>0</v>
      </c>
      <c r="E560" s="86">
        <f aca="true" t="shared" si="97" ref="E560:AC560">SUM(E559)</f>
        <v>0</v>
      </c>
      <c r="F560" s="86">
        <f t="shared" si="97"/>
        <v>0</v>
      </c>
      <c r="G560" s="86">
        <f t="shared" si="97"/>
        <v>0</v>
      </c>
      <c r="H560" s="86">
        <f t="shared" si="97"/>
        <v>0</v>
      </c>
      <c r="I560" s="86">
        <f t="shared" si="97"/>
        <v>0</v>
      </c>
      <c r="J560" s="86">
        <f t="shared" si="97"/>
        <v>0</v>
      </c>
      <c r="K560" s="86">
        <f t="shared" si="97"/>
        <v>100</v>
      </c>
      <c r="L560" s="86">
        <f t="shared" si="97"/>
        <v>0</v>
      </c>
      <c r="M560" s="86">
        <f t="shared" si="97"/>
        <v>0</v>
      </c>
      <c r="N560" s="86">
        <f t="shared" si="97"/>
        <v>0</v>
      </c>
      <c r="O560" s="86">
        <f t="shared" si="97"/>
        <v>0</v>
      </c>
      <c r="P560" s="86">
        <f t="shared" si="97"/>
        <v>0</v>
      </c>
      <c r="Q560" s="86">
        <f t="shared" si="97"/>
        <v>0</v>
      </c>
      <c r="R560" s="86">
        <f t="shared" si="97"/>
        <v>0</v>
      </c>
      <c r="S560" s="86">
        <f t="shared" si="97"/>
        <v>0</v>
      </c>
      <c r="T560" s="86">
        <f t="shared" si="97"/>
        <v>0</v>
      </c>
      <c r="U560" s="86">
        <f t="shared" si="97"/>
        <v>0</v>
      </c>
      <c r="V560" s="86">
        <f t="shared" si="97"/>
        <v>0</v>
      </c>
      <c r="W560" s="86">
        <f t="shared" si="97"/>
        <v>0</v>
      </c>
      <c r="X560" s="86">
        <f t="shared" si="97"/>
        <v>0</v>
      </c>
      <c r="Y560" s="86">
        <f t="shared" si="97"/>
        <v>0</v>
      </c>
      <c r="Z560" s="86">
        <f t="shared" si="97"/>
        <v>0</v>
      </c>
      <c r="AA560" s="86">
        <f t="shared" si="97"/>
        <v>0</v>
      </c>
      <c r="AB560" s="86">
        <f t="shared" si="97"/>
        <v>0</v>
      </c>
      <c r="AC560" s="87">
        <f t="shared" si="97"/>
        <v>0</v>
      </c>
      <c r="AD560" s="83">
        <f>SUM(AD559)</f>
        <v>0</v>
      </c>
    </row>
    <row r="561" spans="1:30" ht="65.25" thickBot="1">
      <c r="A561" s="150" t="s">
        <v>8</v>
      </c>
      <c r="B561" s="151"/>
      <c r="C561" s="151"/>
      <c r="D561" s="151"/>
      <c r="E561" s="151"/>
      <c r="F561" s="151"/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/>
      <c r="AC561" s="151"/>
      <c r="AD561" s="152"/>
    </row>
    <row r="562" spans="1:33" s="82" customFormat="1" ht="190.5" customHeight="1" thickBot="1">
      <c r="A562" s="84">
        <v>12</v>
      </c>
      <c r="B562" s="22" t="s">
        <v>227</v>
      </c>
      <c r="C562" s="84"/>
      <c r="D562" s="86"/>
      <c r="E562" s="86"/>
      <c r="F562" s="86"/>
      <c r="G562" s="86"/>
      <c r="H562" s="86"/>
      <c r="I562" s="86"/>
      <c r="J562" s="86">
        <v>31</v>
      </c>
      <c r="K562" s="86"/>
      <c r="L562" s="86"/>
      <c r="M562" s="86"/>
      <c r="N562" s="87"/>
      <c r="O562" s="83">
        <v>1</v>
      </c>
      <c r="P562" s="87"/>
      <c r="Q562" s="83">
        <v>3</v>
      </c>
      <c r="R562" s="87"/>
      <c r="S562" s="83"/>
      <c r="T562" s="87"/>
      <c r="U562" s="84"/>
      <c r="V562" s="83"/>
      <c r="W562" s="87"/>
      <c r="X562" s="84"/>
      <c r="Y562" s="83"/>
      <c r="Z562" s="87"/>
      <c r="AA562" s="83"/>
      <c r="AB562" s="84"/>
      <c r="AC562" s="88"/>
      <c r="AD562" s="80"/>
      <c r="AE562" s="13"/>
      <c r="AF562" s="13"/>
      <c r="AG562" s="13"/>
    </row>
    <row r="563" spans="1:30" ht="194.25" thickBot="1">
      <c r="A563" s="83">
        <v>60</v>
      </c>
      <c r="B563" s="22" t="s">
        <v>208</v>
      </c>
      <c r="C563" s="83"/>
      <c r="D563" s="86"/>
      <c r="E563" s="86"/>
      <c r="F563" s="86"/>
      <c r="G563" s="86"/>
      <c r="H563" s="86"/>
      <c r="I563" s="86">
        <v>52</v>
      </c>
      <c r="J563" s="86">
        <v>9</v>
      </c>
      <c r="K563" s="86"/>
      <c r="L563" s="86"/>
      <c r="M563" s="86"/>
      <c r="N563" s="86"/>
      <c r="O563" s="86"/>
      <c r="P563" s="86">
        <v>1.5</v>
      </c>
      <c r="Q563" s="86"/>
      <c r="R563" s="86">
        <v>1.5</v>
      </c>
      <c r="S563" s="86"/>
      <c r="T563" s="86"/>
      <c r="U563" s="86"/>
      <c r="V563" s="86">
        <v>24</v>
      </c>
      <c r="W563" s="86"/>
      <c r="X563" s="86"/>
      <c r="Y563" s="86"/>
      <c r="Z563" s="86"/>
      <c r="AA563" s="86"/>
      <c r="AB563" s="86"/>
      <c r="AC563" s="87"/>
      <c r="AD563" s="83"/>
    </row>
    <row r="564" spans="1:30" ht="129.75" thickBot="1">
      <c r="A564" s="84">
        <v>29</v>
      </c>
      <c r="B564" s="22" t="s">
        <v>163</v>
      </c>
      <c r="C564" s="86">
        <v>20</v>
      </c>
      <c r="D564" s="86"/>
      <c r="E564" s="86"/>
      <c r="F564" s="86"/>
      <c r="G564" s="86"/>
      <c r="H564" s="86"/>
      <c r="I564" s="86"/>
      <c r="J564" s="86">
        <v>7</v>
      </c>
      <c r="K564" s="86"/>
      <c r="L564" s="86"/>
      <c r="M564" s="86"/>
      <c r="N564" s="86"/>
      <c r="O564" s="86"/>
      <c r="P564" s="86"/>
      <c r="Q564" s="86">
        <v>5</v>
      </c>
      <c r="R564" s="86">
        <v>9</v>
      </c>
      <c r="S564" s="86">
        <v>11</v>
      </c>
      <c r="T564" s="86"/>
      <c r="U564" s="86"/>
      <c r="V564" s="86"/>
      <c r="W564" s="86"/>
      <c r="X564" s="86">
        <v>53</v>
      </c>
      <c r="Y564" s="86"/>
      <c r="Z564" s="86"/>
      <c r="AA564" s="86"/>
      <c r="AB564" s="86"/>
      <c r="AC564" s="87"/>
      <c r="AD564" s="83"/>
    </row>
    <row r="565" spans="1:30" ht="65.25" thickBot="1">
      <c r="A565" s="84">
        <v>8</v>
      </c>
      <c r="B565" s="22" t="s">
        <v>37</v>
      </c>
      <c r="C565" s="84"/>
      <c r="D565" s="86"/>
      <c r="E565" s="86"/>
      <c r="F565" s="86"/>
      <c r="G565" s="86"/>
      <c r="H565" s="86"/>
      <c r="I565" s="86">
        <v>98</v>
      </c>
      <c r="J565" s="86"/>
      <c r="K565" s="86"/>
      <c r="L565" s="86"/>
      <c r="M565" s="86"/>
      <c r="N565" s="87"/>
      <c r="O565" s="83"/>
      <c r="P565" s="87">
        <v>4</v>
      </c>
      <c r="Q565" s="83"/>
      <c r="R565" s="87"/>
      <c r="S565" s="83">
        <v>18</v>
      </c>
      <c r="T565" s="90"/>
      <c r="U565" s="83"/>
      <c r="V565" s="83"/>
      <c r="W565" s="87"/>
      <c r="X565" s="83"/>
      <c r="Y565" s="83"/>
      <c r="Z565" s="87"/>
      <c r="AA565" s="83"/>
      <c r="AB565" s="87"/>
      <c r="AC565" s="90"/>
      <c r="AD565" s="83"/>
    </row>
    <row r="566" spans="1:30" ht="65.25" thickBot="1">
      <c r="A566" s="83">
        <v>9</v>
      </c>
      <c r="B566" s="22" t="s">
        <v>43</v>
      </c>
      <c r="C566" s="84"/>
      <c r="D566" s="86"/>
      <c r="E566" s="86"/>
      <c r="F566" s="86"/>
      <c r="G566" s="86"/>
      <c r="H566" s="86"/>
      <c r="I566" s="86"/>
      <c r="J566" s="86"/>
      <c r="K566" s="86"/>
      <c r="L566" s="86"/>
      <c r="M566" s="86">
        <v>15</v>
      </c>
      <c r="N566" s="87"/>
      <c r="O566" s="83">
        <v>10</v>
      </c>
      <c r="P566" s="87"/>
      <c r="Q566" s="83"/>
      <c r="R566" s="87"/>
      <c r="S566" s="83"/>
      <c r="T566" s="83"/>
      <c r="U566" s="87"/>
      <c r="V566" s="83"/>
      <c r="W566" s="87"/>
      <c r="X566" s="83"/>
      <c r="Y566" s="83"/>
      <c r="Z566" s="87"/>
      <c r="AA566" s="83"/>
      <c r="AB566" s="87"/>
      <c r="AC566" s="90"/>
      <c r="AD566" s="83"/>
    </row>
    <row r="567" spans="1:30" ht="129.75" thickBot="1">
      <c r="A567" s="83" t="s">
        <v>32</v>
      </c>
      <c r="B567" s="22" t="s">
        <v>56</v>
      </c>
      <c r="C567" s="84">
        <v>20</v>
      </c>
      <c r="D567" s="86"/>
      <c r="E567" s="86"/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7"/>
      <c r="U567" s="83"/>
      <c r="V567" s="86"/>
      <c r="W567" s="87"/>
      <c r="X567" s="83"/>
      <c r="Y567" s="86"/>
      <c r="Z567" s="86"/>
      <c r="AA567" s="86"/>
      <c r="AB567" s="86"/>
      <c r="AC567" s="87"/>
      <c r="AD567" s="83"/>
    </row>
    <row r="568" spans="1:30" ht="129.75" thickBot="1">
      <c r="A568" s="83" t="s">
        <v>32</v>
      </c>
      <c r="B568" s="22" t="s">
        <v>58</v>
      </c>
      <c r="C568" s="84"/>
      <c r="D568" s="86">
        <v>40</v>
      </c>
      <c r="E568" s="86"/>
      <c r="F568" s="86"/>
      <c r="G568" s="86"/>
      <c r="H568" s="86"/>
      <c r="I568" s="85"/>
      <c r="J568" s="85"/>
      <c r="K568" s="85"/>
      <c r="L568" s="85"/>
      <c r="M568" s="85"/>
      <c r="N568" s="85"/>
      <c r="O568" s="85"/>
      <c r="P568" s="85"/>
      <c r="Q568" s="85"/>
      <c r="R568" s="85"/>
      <c r="S568" s="85"/>
      <c r="T568" s="85"/>
      <c r="U568" s="85"/>
      <c r="V568" s="85"/>
      <c r="W568" s="85"/>
      <c r="X568" s="85"/>
      <c r="Y568" s="85"/>
      <c r="Z568" s="85"/>
      <c r="AA568" s="85"/>
      <c r="AB568" s="85"/>
      <c r="AC568" s="91"/>
      <c r="AD568" s="83"/>
    </row>
    <row r="569" spans="1:30" ht="65.25" thickBot="1">
      <c r="A569" s="84"/>
      <c r="B569" s="25" t="s">
        <v>29</v>
      </c>
      <c r="C569" s="84">
        <f aca="true" t="shared" si="98" ref="C569:AD569">SUM(C562:C568)</f>
        <v>40</v>
      </c>
      <c r="D569" s="84">
        <f t="shared" si="98"/>
        <v>40</v>
      </c>
      <c r="E569" s="84">
        <f t="shared" si="98"/>
        <v>0</v>
      </c>
      <c r="F569" s="84">
        <f t="shared" si="98"/>
        <v>0</v>
      </c>
      <c r="G569" s="84">
        <f t="shared" si="98"/>
        <v>0</v>
      </c>
      <c r="H569" s="84">
        <f t="shared" si="98"/>
        <v>0</v>
      </c>
      <c r="I569" s="84">
        <f t="shared" si="98"/>
        <v>150</v>
      </c>
      <c r="J569" s="84">
        <f t="shared" si="98"/>
        <v>47</v>
      </c>
      <c r="K569" s="84">
        <f t="shared" si="98"/>
        <v>0</v>
      </c>
      <c r="L569" s="84">
        <f t="shared" si="98"/>
        <v>0</v>
      </c>
      <c r="M569" s="84">
        <f t="shared" si="98"/>
        <v>15</v>
      </c>
      <c r="N569" s="84">
        <f t="shared" si="98"/>
        <v>0</v>
      </c>
      <c r="O569" s="84">
        <f t="shared" si="98"/>
        <v>11</v>
      </c>
      <c r="P569" s="84">
        <f t="shared" si="98"/>
        <v>5.5</v>
      </c>
      <c r="Q569" s="84">
        <f t="shared" si="98"/>
        <v>8</v>
      </c>
      <c r="R569" s="84">
        <f t="shared" si="98"/>
        <v>10.5</v>
      </c>
      <c r="S569" s="84">
        <f t="shared" si="98"/>
        <v>29</v>
      </c>
      <c r="T569" s="84">
        <f t="shared" si="98"/>
        <v>0</v>
      </c>
      <c r="U569" s="84">
        <f t="shared" si="98"/>
        <v>0</v>
      </c>
      <c r="V569" s="84">
        <f t="shared" si="98"/>
        <v>24</v>
      </c>
      <c r="W569" s="84">
        <f t="shared" si="98"/>
        <v>0</v>
      </c>
      <c r="X569" s="84">
        <f t="shared" si="98"/>
        <v>53</v>
      </c>
      <c r="Y569" s="84">
        <f t="shared" si="98"/>
        <v>0</v>
      </c>
      <c r="Z569" s="84">
        <f t="shared" si="98"/>
        <v>0</v>
      </c>
      <c r="AA569" s="84">
        <f t="shared" si="98"/>
        <v>0</v>
      </c>
      <c r="AB569" s="84">
        <f t="shared" si="98"/>
        <v>0</v>
      </c>
      <c r="AC569" s="88">
        <f t="shared" si="98"/>
        <v>0</v>
      </c>
      <c r="AD569" s="84">
        <f t="shared" si="98"/>
        <v>0</v>
      </c>
    </row>
    <row r="570" spans="1:30" ht="65.25" thickBot="1">
      <c r="A570" s="150" t="s">
        <v>145</v>
      </c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/>
      <c r="AC570" s="151"/>
      <c r="AD570" s="152"/>
    </row>
    <row r="571" spans="1:30" ht="194.25" thickBot="1">
      <c r="A571" s="92">
        <v>21.1</v>
      </c>
      <c r="B571" s="27" t="s">
        <v>172</v>
      </c>
      <c r="C571" s="83"/>
      <c r="D571" s="86"/>
      <c r="E571" s="83"/>
      <c r="F571" s="83"/>
      <c r="G571" s="83"/>
      <c r="H571" s="86"/>
      <c r="I571" s="86"/>
      <c r="J571" s="86"/>
      <c r="K571" s="86"/>
      <c r="L571" s="86"/>
      <c r="M571" s="86"/>
      <c r="N571" s="87"/>
      <c r="O571" s="84"/>
      <c r="P571" s="87"/>
      <c r="Q571" s="84"/>
      <c r="R571" s="87"/>
      <c r="S571" s="84">
        <v>155</v>
      </c>
      <c r="T571" s="87"/>
      <c r="U571" s="84"/>
      <c r="V571" s="84"/>
      <c r="W571" s="87"/>
      <c r="X571" s="84"/>
      <c r="Y571" s="84"/>
      <c r="Z571" s="87"/>
      <c r="AA571" s="84"/>
      <c r="AB571" s="84"/>
      <c r="AC571" s="88"/>
      <c r="AD571" s="83"/>
    </row>
    <row r="572" spans="1:30" ht="65.25" thickBot="1">
      <c r="A572" s="83">
        <v>11</v>
      </c>
      <c r="B572" s="22" t="s">
        <v>219</v>
      </c>
      <c r="C572" s="84"/>
      <c r="D572" s="86"/>
      <c r="E572" s="86">
        <v>39</v>
      </c>
      <c r="F572" s="86"/>
      <c r="G572" s="86"/>
      <c r="H572" s="86"/>
      <c r="I572" s="86"/>
      <c r="J572" s="86"/>
      <c r="K572" s="86"/>
      <c r="L572" s="86"/>
      <c r="M572" s="86"/>
      <c r="N572" s="86"/>
      <c r="O572" s="86">
        <v>1.7</v>
      </c>
      <c r="P572" s="86">
        <v>4.7</v>
      </c>
      <c r="Q572" s="86">
        <v>0.9</v>
      </c>
      <c r="R572" s="86">
        <v>5.5</v>
      </c>
      <c r="S572" s="86">
        <v>8</v>
      </c>
      <c r="T572" s="86"/>
      <c r="U572" s="86"/>
      <c r="V572" s="86"/>
      <c r="W572" s="86"/>
      <c r="X572" s="86"/>
      <c r="Y572" s="86"/>
      <c r="Z572" s="86">
        <v>16</v>
      </c>
      <c r="AA572" s="86"/>
      <c r="AB572" s="86"/>
      <c r="AC572" s="87"/>
      <c r="AD572" s="84">
        <v>1</v>
      </c>
    </row>
    <row r="573" spans="1:30" ht="65.25" thickBot="1">
      <c r="A573" s="84"/>
      <c r="B573" s="25" t="s">
        <v>29</v>
      </c>
      <c r="C573" s="84">
        <f>C571+C572</f>
        <v>0</v>
      </c>
      <c r="D573" s="84">
        <f aca="true" t="shared" si="99" ref="D573:AD573">D571+D572</f>
        <v>0</v>
      </c>
      <c r="E573" s="84">
        <f t="shared" si="99"/>
        <v>39</v>
      </c>
      <c r="F573" s="84">
        <f t="shared" si="99"/>
        <v>0</v>
      </c>
      <c r="G573" s="84">
        <f t="shared" si="99"/>
        <v>0</v>
      </c>
      <c r="H573" s="84">
        <f t="shared" si="99"/>
        <v>0</v>
      </c>
      <c r="I573" s="84">
        <f t="shared" si="99"/>
        <v>0</v>
      </c>
      <c r="J573" s="84">
        <f t="shared" si="99"/>
        <v>0</v>
      </c>
      <c r="K573" s="84">
        <f t="shared" si="99"/>
        <v>0</v>
      </c>
      <c r="L573" s="84">
        <f t="shared" si="99"/>
        <v>0</v>
      </c>
      <c r="M573" s="84">
        <f t="shared" si="99"/>
        <v>0</v>
      </c>
      <c r="N573" s="84">
        <f t="shared" si="99"/>
        <v>0</v>
      </c>
      <c r="O573" s="84">
        <f t="shared" si="99"/>
        <v>1.7</v>
      </c>
      <c r="P573" s="84">
        <f t="shared" si="99"/>
        <v>4.7</v>
      </c>
      <c r="Q573" s="84">
        <f t="shared" si="99"/>
        <v>0.9</v>
      </c>
      <c r="R573" s="84">
        <f t="shared" si="99"/>
        <v>5.5</v>
      </c>
      <c r="S573" s="84">
        <f t="shared" si="99"/>
        <v>163</v>
      </c>
      <c r="T573" s="84">
        <f t="shared" si="99"/>
        <v>0</v>
      </c>
      <c r="U573" s="84">
        <f t="shared" si="99"/>
        <v>0</v>
      </c>
      <c r="V573" s="84">
        <f t="shared" si="99"/>
        <v>0</v>
      </c>
      <c r="W573" s="84">
        <f t="shared" si="99"/>
        <v>0</v>
      </c>
      <c r="X573" s="84">
        <f t="shared" si="99"/>
        <v>0</v>
      </c>
      <c r="Y573" s="84">
        <f t="shared" si="99"/>
        <v>0</v>
      </c>
      <c r="Z573" s="84">
        <f t="shared" si="99"/>
        <v>16</v>
      </c>
      <c r="AA573" s="84">
        <f t="shared" si="99"/>
        <v>0</v>
      </c>
      <c r="AB573" s="84">
        <f t="shared" si="99"/>
        <v>0</v>
      </c>
      <c r="AC573" s="84">
        <f t="shared" si="99"/>
        <v>0</v>
      </c>
      <c r="AD573" s="84">
        <f t="shared" si="99"/>
        <v>1</v>
      </c>
    </row>
    <row r="574" spans="1:30" ht="65.25" thickBot="1">
      <c r="A574" s="150" t="s">
        <v>144</v>
      </c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/>
      <c r="AC574" s="151"/>
      <c r="AD574" s="152"/>
    </row>
    <row r="575" spans="1:30" ht="129.75" thickBot="1">
      <c r="A575" s="84">
        <v>37</v>
      </c>
      <c r="B575" s="25" t="s">
        <v>35</v>
      </c>
      <c r="C575" s="84"/>
      <c r="D575" s="85"/>
      <c r="E575" s="85"/>
      <c r="F575" s="85"/>
      <c r="G575" s="85"/>
      <c r="H575" s="86"/>
      <c r="I575" s="86"/>
      <c r="J575" s="86"/>
      <c r="K575" s="86"/>
      <c r="L575" s="86"/>
      <c r="M575" s="86"/>
      <c r="N575" s="86"/>
      <c r="O575" s="86"/>
      <c r="P575" s="86">
        <v>3</v>
      </c>
      <c r="Q575" s="86"/>
      <c r="R575" s="86">
        <v>80</v>
      </c>
      <c r="S575" s="86">
        <v>73</v>
      </c>
      <c r="T575" s="87"/>
      <c r="U575" s="84"/>
      <c r="V575" s="87"/>
      <c r="W575" s="84"/>
      <c r="X575" s="86"/>
      <c r="Y575" s="86"/>
      <c r="Z575" s="86"/>
      <c r="AA575" s="86"/>
      <c r="AB575" s="86"/>
      <c r="AC575" s="87"/>
      <c r="AD575" s="83"/>
    </row>
    <row r="576" spans="1:30" ht="65.25" thickBot="1">
      <c r="A576" s="84">
        <v>41</v>
      </c>
      <c r="B576" s="22" t="s">
        <v>101</v>
      </c>
      <c r="C576" s="84"/>
      <c r="D576" s="86"/>
      <c r="E576" s="86"/>
      <c r="F576" s="86"/>
      <c r="G576" s="86"/>
      <c r="H576" s="86"/>
      <c r="I576" s="86"/>
      <c r="J576" s="86">
        <v>42</v>
      </c>
      <c r="K576" s="86"/>
      <c r="L576" s="86"/>
      <c r="M576" s="86"/>
      <c r="N576" s="87"/>
      <c r="O576" s="83"/>
      <c r="P576" s="87"/>
      <c r="Q576" s="83"/>
      <c r="R576" s="87"/>
      <c r="S576" s="83"/>
      <c r="T576" s="87"/>
      <c r="U576" s="84"/>
      <c r="V576" s="83"/>
      <c r="W576" s="87"/>
      <c r="X576" s="84"/>
      <c r="Y576" s="83"/>
      <c r="Z576" s="87"/>
      <c r="AA576" s="83"/>
      <c r="AB576" s="84"/>
      <c r="AC576" s="88"/>
      <c r="AD576" s="83"/>
    </row>
    <row r="577" spans="1:30" ht="129.75" thickBot="1">
      <c r="A577" s="83" t="s">
        <v>32</v>
      </c>
      <c r="B577" s="22" t="s">
        <v>56</v>
      </c>
      <c r="C577" s="86">
        <v>15</v>
      </c>
      <c r="D577" s="86"/>
      <c r="E577" s="86"/>
      <c r="F577" s="86"/>
      <c r="G577" s="86"/>
      <c r="H577" s="86"/>
      <c r="I577" s="86"/>
      <c r="J577" s="86"/>
      <c r="K577" s="86"/>
      <c r="L577" s="86"/>
      <c r="M577" s="86"/>
      <c r="N577" s="86"/>
      <c r="O577" s="86"/>
      <c r="P577" s="86"/>
      <c r="Q577" s="86"/>
      <c r="R577" s="86"/>
      <c r="S577" s="86"/>
      <c r="T577" s="87"/>
      <c r="U577" s="83"/>
      <c r="V577" s="86"/>
      <c r="W577" s="87"/>
      <c r="X577" s="83"/>
      <c r="Y577" s="86"/>
      <c r="Z577" s="86"/>
      <c r="AA577" s="86"/>
      <c r="AB577" s="86"/>
      <c r="AC577" s="87"/>
      <c r="AD577" s="83"/>
    </row>
    <row r="578" spans="1:30" ht="65.25" thickBot="1">
      <c r="A578" s="84">
        <v>13</v>
      </c>
      <c r="B578" s="23" t="s">
        <v>7</v>
      </c>
      <c r="C578" s="84"/>
      <c r="D578" s="85"/>
      <c r="E578" s="85"/>
      <c r="F578" s="85"/>
      <c r="G578" s="85"/>
      <c r="H578" s="86"/>
      <c r="I578" s="86"/>
      <c r="J578" s="86"/>
      <c r="K578" s="86"/>
      <c r="L578" s="86"/>
      <c r="M578" s="86"/>
      <c r="N578" s="87"/>
      <c r="O578" s="84">
        <v>10</v>
      </c>
      <c r="P578" s="87"/>
      <c r="Q578" s="84"/>
      <c r="R578" s="87"/>
      <c r="S578" s="84"/>
      <c r="T578" s="84"/>
      <c r="U578" s="87"/>
      <c r="V578" s="84"/>
      <c r="W578" s="87"/>
      <c r="X578" s="84"/>
      <c r="Y578" s="84"/>
      <c r="Z578" s="87"/>
      <c r="AA578" s="84">
        <v>0.48</v>
      </c>
      <c r="AB578" s="84"/>
      <c r="AC578" s="90"/>
      <c r="AD578" s="83"/>
    </row>
    <row r="579" spans="1:30" ht="129.75" thickBot="1">
      <c r="A579" s="83">
        <v>69</v>
      </c>
      <c r="B579" s="22" t="s">
        <v>106</v>
      </c>
      <c r="C579" s="84"/>
      <c r="D579" s="86"/>
      <c r="E579" s="86"/>
      <c r="F579" s="86"/>
      <c r="G579" s="86"/>
      <c r="H579" s="86"/>
      <c r="I579" s="86"/>
      <c r="J579" s="86"/>
      <c r="K579" s="86"/>
      <c r="L579" s="86">
        <v>85</v>
      </c>
      <c r="M579" s="8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7"/>
      <c r="AD579" s="84"/>
    </row>
    <row r="580" spans="1:30" ht="65.25" thickBot="1">
      <c r="A580" s="83"/>
      <c r="B580" s="22" t="s">
        <v>29</v>
      </c>
      <c r="C580" s="84">
        <f aca="true" t="shared" si="100" ref="C580:AD580">SUM(C575:C579)</f>
        <v>15</v>
      </c>
      <c r="D580" s="84">
        <f t="shared" si="100"/>
        <v>0</v>
      </c>
      <c r="E580" s="84">
        <f t="shared" si="100"/>
        <v>0</v>
      </c>
      <c r="F580" s="84">
        <f t="shared" si="100"/>
        <v>0</v>
      </c>
      <c r="G580" s="84">
        <f t="shared" si="100"/>
        <v>0</v>
      </c>
      <c r="H580" s="84">
        <f t="shared" si="100"/>
        <v>0</v>
      </c>
      <c r="I580" s="84">
        <f t="shared" si="100"/>
        <v>0</v>
      </c>
      <c r="J580" s="84">
        <f t="shared" si="100"/>
        <v>42</v>
      </c>
      <c r="K580" s="84">
        <f t="shared" si="100"/>
        <v>0</v>
      </c>
      <c r="L580" s="84">
        <f t="shared" si="100"/>
        <v>85</v>
      </c>
      <c r="M580" s="84">
        <f t="shared" si="100"/>
        <v>0</v>
      </c>
      <c r="N580" s="84">
        <f t="shared" si="100"/>
        <v>0</v>
      </c>
      <c r="O580" s="84">
        <f t="shared" si="100"/>
        <v>10</v>
      </c>
      <c r="P580" s="84">
        <f t="shared" si="100"/>
        <v>3</v>
      </c>
      <c r="Q580" s="84">
        <f t="shared" si="100"/>
        <v>0</v>
      </c>
      <c r="R580" s="84">
        <f t="shared" si="100"/>
        <v>80</v>
      </c>
      <c r="S580" s="84">
        <f t="shared" si="100"/>
        <v>73</v>
      </c>
      <c r="T580" s="84">
        <f t="shared" si="100"/>
        <v>0</v>
      </c>
      <c r="U580" s="84">
        <f t="shared" si="100"/>
        <v>0</v>
      </c>
      <c r="V580" s="84">
        <f t="shared" si="100"/>
        <v>0</v>
      </c>
      <c r="W580" s="84">
        <f t="shared" si="100"/>
        <v>0</v>
      </c>
      <c r="X580" s="84">
        <f t="shared" si="100"/>
        <v>0</v>
      </c>
      <c r="Y580" s="84">
        <f t="shared" si="100"/>
        <v>0</v>
      </c>
      <c r="Z580" s="84">
        <f t="shared" si="100"/>
        <v>0</v>
      </c>
      <c r="AA580" s="84">
        <f t="shared" si="100"/>
        <v>0.48</v>
      </c>
      <c r="AB580" s="84">
        <f t="shared" si="100"/>
        <v>0</v>
      </c>
      <c r="AC580" s="88">
        <f t="shared" si="100"/>
        <v>0</v>
      </c>
      <c r="AD580" s="84">
        <f t="shared" si="100"/>
        <v>0</v>
      </c>
    </row>
    <row r="581" spans="1:30" ht="194.25" thickBot="1">
      <c r="A581" s="145"/>
      <c r="B581" s="22" t="s">
        <v>148</v>
      </c>
      <c r="C581" s="84"/>
      <c r="D581" s="84"/>
      <c r="E581" s="84"/>
      <c r="F581" s="84"/>
      <c r="G581" s="84"/>
      <c r="H581" s="84"/>
      <c r="I581" s="84"/>
      <c r="J581" s="84"/>
      <c r="K581" s="84"/>
      <c r="L581" s="84"/>
      <c r="M581" s="84"/>
      <c r="N581" s="84"/>
      <c r="O581" s="84"/>
      <c r="P581" s="84"/>
      <c r="Q581" s="84"/>
      <c r="R581" s="84"/>
      <c r="S581" s="84"/>
      <c r="T581" s="84"/>
      <c r="U581" s="84"/>
      <c r="V581" s="84"/>
      <c r="W581" s="84"/>
      <c r="X581" s="84"/>
      <c r="Y581" s="84"/>
      <c r="Z581" s="84"/>
      <c r="AA581" s="84"/>
      <c r="AB581" s="84"/>
      <c r="AC581" s="88"/>
      <c r="AD581" s="84"/>
    </row>
    <row r="582" spans="1:30" ht="65.25" thickBot="1">
      <c r="A582" s="83"/>
      <c r="B582" s="93" t="s">
        <v>10</v>
      </c>
      <c r="C582" s="84">
        <f aca="true" t="shared" si="101" ref="C582:AD582">C560+C557+C569+C573+C580</f>
        <v>85</v>
      </c>
      <c r="D582" s="84">
        <f t="shared" si="101"/>
        <v>40</v>
      </c>
      <c r="E582" s="84">
        <f t="shared" si="101"/>
        <v>39</v>
      </c>
      <c r="F582" s="84">
        <f t="shared" si="101"/>
        <v>0</v>
      </c>
      <c r="G582" s="84">
        <f t="shared" si="101"/>
        <v>15</v>
      </c>
      <c r="H582" s="84">
        <f t="shared" si="101"/>
        <v>0</v>
      </c>
      <c r="I582" s="84">
        <f t="shared" si="101"/>
        <v>150</v>
      </c>
      <c r="J582" s="84">
        <f t="shared" si="101"/>
        <v>89</v>
      </c>
      <c r="K582" s="84">
        <f t="shared" si="101"/>
        <v>100</v>
      </c>
      <c r="L582" s="84">
        <f t="shared" si="101"/>
        <v>85</v>
      </c>
      <c r="M582" s="84">
        <f t="shared" si="101"/>
        <v>15</v>
      </c>
      <c r="N582" s="84">
        <f t="shared" si="101"/>
        <v>0</v>
      </c>
      <c r="O582" s="84">
        <f t="shared" si="101"/>
        <v>34.7</v>
      </c>
      <c r="P582" s="84">
        <f t="shared" si="101"/>
        <v>20.2</v>
      </c>
      <c r="Q582" s="84">
        <f t="shared" si="101"/>
        <v>8.9</v>
      </c>
      <c r="R582" s="84">
        <f t="shared" si="101"/>
        <v>96</v>
      </c>
      <c r="S582" s="84">
        <f t="shared" si="101"/>
        <v>468</v>
      </c>
      <c r="T582" s="84">
        <f t="shared" si="101"/>
        <v>0</v>
      </c>
      <c r="U582" s="84">
        <f t="shared" si="101"/>
        <v>0</v>
      </c>
      <c r="V582" s="84">
        <f t="shared" si="101"/>
        <v>24</v>
      </c>
      <c r="W582" s="84">
        <f t="shared" si="101"/>
        <v>0</v>
      </c>
      <c r="X582" s="84">
        <f t="shared" si="101"/>
        <v>53</v>
      </c>
      <c r="Y582" s="84">
        <f t="shared" si="101"/>
        <v>0</v>
      </c>
      <c r="Z582" s="84">
        <f t="shared" si="101"/>
        <v>16</v>
      </c>
      <c r="AA582" s="84">
        <f t="shared" si="101"/>
        <v>0.48</v>
      </c>
      <c r="AB582" s="84">
        <f t="shared" si="101"/>
        <v>0</v>
      </c>
      <c r="AC582" s="88">
        <f t="shared" si="101"/>
        <v>1.1</v>
      </c>
      <c r="AD582" s="84">
        <f t="shared" si="101"/>
        <v>1</v>
      </c>
    </row>
    <row r="583" spans="1:30" ht="65.25" thickBot="1">
      <c r="A583" s="150" t="s">
        <v>62</v>
      </c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  <c r="AC583" s="151"/>
      <c r="AD583" s="152"/>
    </row>
    <row r="584" spans="1:30" ht="65.25" thickBot="1">
      <c r="A584" s="150" t="s">
        <v>94</v>
      </c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/>
      <c r="AC584" s="151"/>
      <c r="AD584" s="151"/>
    </row>
    <row r="585" spans="1:30" ht="46.5" customHeight="1">
      <c r="A585" s="166" t="s">
        <v>30</v>
      </c>
      <c r="B585" s="168" t="s">
        <v>23</v>
      </c>
      <c r="C585" s="153" t="s">
        <v>116</v>
      </c>
      <c r="D585" s="153" t="s">
        <v>117</v>
      </c>
      <c r="E585" s="153" t="s">
        <v>118</v>
      </c>
      <c r="F585" s="153" t="s">
        <v>119</v>
      </c>
      <c r="G585" s="153" t="s">
        <v>120</v>
      </c>
      <c r="H585" s="153" t="s">
        <v>121</v>
      </c>
      <c r="I585" s="153" t="s">
        <v>110</v>
      </c>
      <c r="J585" s="153" t="s">
        <v>257</v>
      </c>
      <c r="K585" s="140"/>
      <c r="L585" s="153" t="s">
        <v>142</v>
      </c>
      <c r="M585" s="153" t="s">
        <v>79</v>
      </c>
      <c r="N585" s="153" t="s">
        <v>123</v>
      </c>
      <c r="O585" s="153" t="s">
        <v>80</v>
      </c>
      <c r="P585" s="153" t="s">
        <v>124</v>
      </c>
      <c r="Q585" s="153" t="s">
        <v>81</v>
      </c>
      <c r="R585" s="153" t="s">
        <v>125</v>
      </c>
      <c r="S585" s="153" t="s">
        <v>126</v>
      </c>
      <c r="T585" s="153" t="s">
        <v>127</v>
      </c>
      <c r="U585" s="140"/>
      <c r="V585" s="153" t="s">
        <v>113</v>
      </c>
      <c r="W585" s="153" t="s">
        <v>129</v>
      </c>
      <c r="X585" s="153" t="s">
        <v>84</v>
      </c>
      <c r="Y585" s="153" t="s">
        <v>82</v>
      </c>
      <c r="Z585" s="153" t="s">
        <v>83</v>
      </c>
      <c r="AA585" s="153" t="s">
        <v>85</v>
      </c>
      <c r="AB585" s="140"/>
      <c r="AC585" s="158" t="s">
        <v>78</v>
      </c>
      <c r="AD585" s="153" t="s">
        <v>138</v>
      </c>
    </row>
    <row r="586" spans="1:30" ht="406.5" customHeight="1" thickBot="1">
      <c r="A586" s="167"/>
      <c r="B586" s="169"/>
      <c r="C586" s="154"/>
      <c r="D586" s="154"/>
      <c r="E586" s="154"/>
      <c r="F586" s="154"/>
      <c r="G586" s="154"/>
      <c r="H586" s="154"/>
      <c r="I586" s="154"/>
      <c r="J586" s="154"/>
      <c r="K586" s="141" t="s">
        <v>122</v>
      </c>
      <c r="L586" s="154"/>
      <c r="M586" s="154"/>
      <c r="N586" s="154"/>
      <c r="O586" s="154"/>
      <c r="P586" s="154"/>
      <c r="Q586" s="154"/>
      <c r="R586" s="154"/>
      <c r="S586" s="154"/>
      <c r="T586" s="154"/>
      <c r="U586" s="141" t="s">
        <v>128</v>
      </c>
      <c r="V586" s="154"/>
      <c r="W586" s="154"/>
      <c r="X586" s="154"/>
      <c r="Y586" s="154"/>
      <c r="Z586" s="154"/>
      <c r="AA586" s="154"/>
      <c r="AB586" s="141" t="s">
        <v>77</v>
      </c>
      <c r="AC586" s="159"/>
      <c r="AD586" s="154"/>
    </row>
    <row r="587" spans="1:30" ht="65.25" thickBot="1">
      <c r="A587" s="145">
        <v>1</v>
      </c>
      <c r="B587" s="79">
        <v>2</v>
      </c>
      <c r="C587" s="80" t="s">
        <v>54</v>
      </c>
      <c r="D587" s="81">
        <v>4</v>
      </c>
      <c r="E587" s="80">
        <v>5</v>
      </c>
      <c r="F587" s="80">
        <v>6</v>
      </c>
      <c r="G587" s="80">
        <v>7</v>
      </c>
      <c r="H587" s="80">
        <v>8</v>
      </c>
      <c r="I587" s="80" t="s">
        <v>55</v>
      </c>
      <c r="J587" s="81">
        <v>10</v>
      </c>
      <c r="K587" s="80">
        <v>11</v>
      </c>
      <c r="L587" s="80">
        <v>12</v>
      </c>
      <c r="M587" s="80">
        <v>13</v>
      </c>
      <c r="N587" s="80">
        <v>14</v>
      </c>
      <c r="O587" s="80">
        <v>15</v>
      </c>
      <c r="P587" s="143">
        <v>16</v>
      </c>
      <c r="Q587" s="80">
        <v>17</v>
      </c>
      <c r="R587" s="143">
        <v>18</v>
      </c>
      <c r="S587" s="80">
        <v>19</v>
      </c>
      <c r="T587" s="143">
        <v>20</v>
      </c>
      <c r="U587" s="143">
        <v>21</v>
      </c>
      <c r="V587" s="80">
        <v>22</v>
      </c>
      <c r="W587" s="80">
        <v>23</v>
      </c>
      <c r="X587" s="143">
        <v>24</v>
      </c>
      <c r="Y587" s="80">
        <v>25</v>
      </c>
      <c r="Z587" s="80">
        <v>26</v>
      </c>
      <c r="AA587" s="80">
        <v>27</v>
      </c>
      <c r="AB587" s="143">
        <v>28</v>
      </c>
      <c r="AC587" s="142">
        <v>29</v>
      </c>
      <c r="AD587" s="80">
        <v>31</v>
      </c>
    </row>
    <row r="588" spans="1:30" ht="65.25" thickBot="1">
      <c r="A588" s="150" t="s">
        <v>5</v>
      </c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/>
      <c r="AC588" s="151"/>
      <c r="AD588" s="152"/>
    </row>
    <row r="589" spans="1:30" ht="65.25" thickBot="1">
      <c r="A589" s="83">
        <v>14</v>
      </c>
      <c r="B589" s="25" t="s">
        <v>176</v>
      </c>
      <c r="C589" s="84"/>
      <c r="D589" s="86"/>
      <c r="E589" s="86"/>
      <c r="F589" s="86"/>
      <c r="G589" s="86">
        <v>23</v>
      </c>
      <c r="H589" s="86"/>
      <c r="I589" s="86"/>
      <c r="J589" s="86"/>
      <c r="K589" s="86"/>
      <c r="L589" s="86"/>
      <c r="M589" s="86"/>
      <c r="N589" s="83"/>
      <c r="O589" s="87">
        <v>4</v>
      </c>
      <c r="P589" s="83">
        <v>2</v>
      </c>
      <c r="Q589" s="87"/>
      <c r="R589" s="83"/>
      <c r="S589" s="87">
        <v>113</v>
      </c>
      <c r="T589" s="83"/>
      <c r="U589" s="87"/>
      <c r="V589" s="84"/>
      <c r="W589" s="87"/>
      <c r="X589" s="83"/>
      <c r="Y589" s="87"/>
      <c r="Z589" s="83"/>
      <c r="AA589" s="87"/>
      <c r="AB589" s="84"/>
      <c r="AC589" s="90"/>
      <c r="AD589" s="83"/>
    </row>
    <row r="590" spans="1:30" ht="129.75" thickBot="1">
      <c r="A590" s="83">
        <v>2</v>
      </c>
      <c r="B590" s="22" t="s">
        <v>69</v>
      </c>
      <c r="C590" s="84"/>
      <c r="D590" s="86"/>
      <c r="E590" s="86"/>
      <c r="F590" s="86"/>
      <c r="G590" s="86"/>
      <c r="H590" s="86"/>
      <c r="I590" s="86"/>
      <c r="J590" s="86"/>
      <c r="K590" s="86"/>
      <c r="L590" s="86"/>
      <c r="M590" s="86"/>
      <c r="N590" s="83"/>
      <c r="O590" s="84">
        <v>8</v>
      </c>
      <c r="P590" s="83"/>
      <c r="Q590" s="87"/>
      <c r="R590" s="83"/>
      <c r="S590" s="84">
        <v>90</v>
      </c>
      <c r="T590" s="83"/>
      <c r="U590" s="87"/>
      <c r="V590" s="83"/>
      <c r="W590" s="87"/>
      <c r="X590" s="83"/>
      <c r="Y590" s="87"/>
      <c r="Z590" s="83"/>
      <c r="AA590" s="87"/>
      <c r="AB590" s="83">
        <v>2</v>
      </c>
      <c r="AC590" s="90"/>
      <c r="AD590" s="84"/>
    </row>
    <row r="591" spans="1:30" ht="129.75" thickBot="1">
      <c r="A591" s="83">
        <v>3</v>
      </c>
      <c r="B591" s="22" t="s">
        <v>38</v>
      </c>
      <c r="C591" s="86">
        <v>20</v>
      </c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3"/>
      <c r="O591" s="87"/>
      <c r="P591" s="84">
        <v>5</v>
      </c>
      <c r="Q591" s="87"/>
      <c r="R591" s="83"/>
      <c r="S591" s="87"/>
      <c r="T591" s="90"/>
      <c r="U591" s="83"/>
      <c r="V591" s="84"/>
      <c r="W591" s="87"/>
      <c r="X591" s="83"/>
      <c r="Y591" s="87"/>
      <c r="Z591" s="83">
        <v>9</v>
      </c>
      <c r="AA591" s="87"/>
      <c r="AB591" s="83"/>
      <c r="AC591" s="87"/>
      <c r="AD591" s="83"/>
    </row>
    <row r="592" spans="1:30" ht="65.25" thickBot="1">
      <c r="A592" s="83"/>
      <c r="B592" s="22" t="s">
        <v>6</v>
      </c>
      <c r="C592" s="83">
        <f aca="true" t="shared" si="102" ref="C592:AD592">SUM(C589:C591)</f>
        <v>20</v>
      </c>
      <c r="D592" s="83">
        <f t="shared" si="102"/>
        <v>0</v>
      </c>
      <c r="E592" s="83">
        <f t="shared" si="102"/>
        <v>0</v>
      </c>
      <c r="F592" s="83">
        <f t="shared" si="102"/>
        <v>0</v>
      </c>
      <c r="G592" s="83">
        <f t="shared" si="102"/>
        <v>23</v>
      </c>
      <c r="H592" s="83">
        <f t="shared" si="102"/>
        <v>0</v>
      </c>
      <c r="I592" s="83">
        <f t="shared" si="102"/>
        <v>0</v>
      </c>
      <c r="J592" s="83">
        <f t="shared" si="102"/>
        <v>0</v>
      </c>
      <c r="K592" s="83">
        <f t="shared" si="102"/>
        <v>0</v>
      </c>
      <c r="L592" s="83">
        <f t="shared" si="102"/>
        <v>0</v>
      </c>
      <c r="M592" s="83">
        <f t="shared" si="102"/>
        <v>0</v>
      </c>
      <c r="N592" s="83">
        <f t="shared" si="102"/>
        <v>0</v>
      </c>
      <c r="O592" s="83">
        <f t="shared" si="102"/>
        <v>12</v>
      </c>
      <c r="P592" s="83">
        <f t="shared" si="102"/>
        <v>7</v>
      </c>
      <c r="Q592" s="83">
        <f t="shared" si="102"/>
        <v>0</v>
      </c>
      <c r="R592" s="83">
        <f t="shared" si="102"/>
        <v>0</v>
      </c>
      <c r="S592" s="83">
        <f t="shared" si="102"/>
        <v>203</v>
      </c>
      <c r="T592" s="83">
        <f t="shared" si="102"/>
        <v>0</v>
      </c>
      <c r="U592" s="83">
        <f t="shared" si="102"/>
        <v>0</v>
      </c>
      <c r="V592" s="83">
        <f t="shared" si="102"/>
        <v>0</v>
      </c>
      <c r="W592" s="83">
        <f t="shared" si="102"/>
        <v>0</v>
      </c>
      <c r="X592" s="83">
        <f t="shared" si="102"/>
        <v>0</v>
      </c>
      <c r="Y592" s="83">
        <f t="shared" si="102"/>
        <v>0</v>
      </c>
      <c r="Z592" s="83">
        <f t="shared" si="102"/>
        <v>9</v>
      </c>
      <c r="AA592" s="83">
        <f t="shared" si="102"/>
        <v>0</v>
      </c>
      <c r="AB592" s="83">
        <f t="shared" si="102"/>
        <v>2</v>
      </c>
      <c r="AC592" s="90">
        <f t="shared" si="102"/>
        <v>0</v>
      </c>
      <c r="AD592" s="83">
        <f t="shared" si="102"/>
        <v>0</v>
      </c>
    </row>
    <row r="593" spans="1:30" ht="65.25" thickBot="1">
      <c r="A593" s="155" t="s">
        <v>53</v>
      </c>
      <c r="B593" s="156"/>
      <c r="C593" s="156"/>
      <c r="D593" s="156"/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7"/>
    </row>
    <row r="594" spans="1:30" ht="65.25" thickBot="1">
      <c r="A594" s="83" t="s">
        <v>32</v>
      </c>
      <c r="B594" s="25" t="s">
        <v>182</v>
      </c>
      <c r="C594" s="84"/>
      <c r="D594" s="86"/>
      <c r="E594" s="86"/>
      <c r="F594" s="86"/>
      <c r="G594" s="86"/>
      <c r="H594" s="86"/>
      <c r="I594" s="86"/>
      <c r="J594" s="86"/>
      <c r="K594" s="86">
        <v>100</v>
      </c>
      <c r="L594" s="86"/>
      <c r="M594" s="86"/>
      <c r="N594" s="87"/>
      <c r="O594" s="84"/>
      <c r="P594" s="87"/>
      <c r="Q594" s="84"/>
      <c r="R594" s="87"/>
      <c r="S594" s="84"/>
      <c r="T594" s="87"/>
      <c r="U594" s="84"/>
      <c r="V594" s="84"/>
      <c r="W594" s="87"/>
      <c r="X594" s="84"/>
      <c r="Y594" s="84"/>
      <c r="Z594" s="87"/>
      <c r="AA594" s="84"/>
      <c r="AB594" s="87"/>
      <c r="AC594" s="88"/>
      <c r="AD594" s="83"/>
    </row>
    <row r="595" spans="1:30" ht="65.25" thickBot="1">
      <c r="A595" s="83"/>
      <c r="B595" s="22" t="s">
        <v>29</v>
      </c>
      <c r="C595" s="86">
        <f>SUM(C594)</f>
        <v>0</v>
      </c>
      <c r="D595" s="86">
        <f>SUM(D594)</f>
        <v>0</v>
      </c>
      <c r="E595" s="86">
        <f aca="true" t="shared" si="103" ref="E595:AC595">SUM(E594)</f>
        <v>0</v>
      </c>
      <c r="F595" s="86">
        <f t="shared" si="103"/>
        <v>0</v>
      </c>
      <c r="G595" s="86">
        <f t="shared" si="103"/>
        <v>0</v>
      </c>
      <c r="H595" s="86">
        <f t="shared" si="103"/>
        <v>0</v>
      </c>
      <c r="I595" s="86">
        <f t="shared" si="103"/>
        <v>0</v>
      </c>
      <c r="J595" s="86">
        <f t="shared" si="103"/>
        <v>0</v>
      </c>
      <c r="K595" s="86">
        <f t="shared" si="103"/>
        <v>100</v>
      </c>
      <c r="L595" s="86">
        <f t="shared" si="103"/>
        <v>0</v>
      </c>
      <c r="M595" s="86">
        <f t="shared" si="103"/>
        <v>0</v>
      </c>
      <c r="N595" s="86">
        <f t="shared" si="103"/>
        <v>0</v>
      </c>
      <c r="O595" s="86">
        <f t="shared" si="103"/>
        <v>0</v>
      </c>
      <c r="P595" s="86">
        <f t="shared" si="103"/>
        <v>0</v>
      </c>
      <c r="Q595" s="86">
        <f t="shared" si="103"/>
        <v>0</v>
      </c>
      <c r="R595" s="86">
        <f t="shared" si="103"/>
        <v>0</v>
      </c>
      <c r="S595" s="86">
        <f t="shared" si="103"/>
        <v>0</v>
      </c>
      <c r="T595" s="86">
        <f t="shared" si="103"/>
        <v>0</v>
      </c>
      <c r="U595" s="86">
        <f t="shared" si="103"/>
        <v>0</v>
      </c>
      <c r="V595" s="86">
        <f t="shared" si="103"/>
        <v>0</v>
      </c>
      <c r="W595" s="86">
        <f t="shared" si="103"/>
        <v>0</v>
      </c>
      <c r="X595" s="86">
        <f t="shared" si="103"/>
        <v>0</v>
      </c>
      <c r="Y595" s="86">
        <f t="shared" si="103"/>
        <v>0</v>
      </c>
      <c r="Z595" s="86">
        <f t="shared" si="103"/>
        <v>0</v>
      </c>
      <c r="AA595" s="86">
        <f t="shared" si="103"/>
        <v>0</v>
      </c>
      <c r="AB595" s="86">
        <f t="shared" si="103"/>
        <v>0</v>
      </c>
      <c r="AC595" s="87">
        <f t="shared" si="103"/>
        <v>0</v>
      </c>
      <c r="AD595" s="83">
        <f>SUM(AD594)</f>
        <v>0</v>
      </c>
    </row>
    <row r="596" spans="1:30" ht="65.25" thickBot="1">
      <c r="A596" s="155" t="s">
        <v>31</v>
      </c>
      <c r="B596" s="156"/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  <c r="AA596" s="156"/>
      <c r="AB596" s="156"/>
      <c r="AC596" s="156"/>
      <c r="AD596" s="157"/>
    </row>
    <row r="597" spans="1:30" ht="194.25" thickBot="1">
      <c r="A597" s="84">
        <v>38</v>
      </c>
      <c r="B597" s="22" t="s">
        <v>268</v>
      </c>
      <c r="C597" s="84"/>
      <c r="D597" s="86"/>
      <c r="E597" s="86"/>
      <c r="F597" s="86"/>
      <c r="G597" s="86"/>
      <c r="H597" s="86"/>
      <c r="I597" s="86"/>
      <c r="J597" s="86">
        <v>35</v>
      </c>
      <c r="K597" s="86"/>
      <c r="L597" s="86"/>
      <c r="M597" s="86"/>
      <c r="N597" s="87"/>
      <c r="O597" s="83"/>
      <c r="P597" s="87"/>
      <c r="Q597" s="83"/>
      <c r="R597" s="87"/>
      <c r="S597" s="83"/>
      <c r="T597" s="87"/>
      <c r="U597" s="84"/>
      <c r="V597" s="83"/>
      <c r="W597" s="87"/>
      <c r="X597" s="84"/>
      <c r="Y597" s="83"/>
      <c r="Z597" s="87"/>
      <c r="AA597" s="83"/>
      <c r="AB597" s="84"/>
      <c r="AC597" s="88"/>
      <c r="AD597" s="80"/>
    </row>
    <row r="598" spans="1:30" ht="132.75" customHeight="1" thickBot="1">
      <c r="A598" s="83">
        <v>34</v>
      </c>
      <c r="B598" s="22" t="s">
        <v>177</v>
      </c>
      <c r="C598" s="84"/>
      <c r="D598" s="86"/>
      <c r="E598" s="86"/>
      <c r="F598" s="86"/>
      <c r="G598" s="86"/>
      <c r="H598" s="86"/>
      <c r="I598" s="86">
        <v>18</v>
      </c>
      <c r="J598" s="86">
        <v>48</v>
      </c>
      <c r="K598" s="86"/>
      <c r="L598" s="86"/>
      <c r="M598" s="86"/>
      <c r="N598" s="87"/>
      <c r="O598" s="83"/>
      <c r="P598" s="87">
        <v>2</v>
      </c>
      <c r="Q598" s="83"/>
      <c r="R598" s="87"/>
      <c r="S598" s="83"/>
      <c r="T598" s="83"/>
      <c r="U598" s="87"/>
      <c r="V598" s="83">
        <v>10</v>
      </c>
      <c r="W598" s="87"/>
      <c r="X598" s="84"/>
      <c r="Y598" s="84">
        <v>7</v>
      </c>
      <c r="Z598" s="87"/>
      <c r="AA598" s="83"/>
      <c r="AB598" s="87"/>
      <c r="AC598" s="90"/>
      <c r="AD598" s="83"/>
    </row>
    <row r="599" spans="1:30" ht="129.75" thickBot="1">
      <c r="A599" s="84">
        <v>33</v>
      </c>
      <c r="B599" s="22" t="s">
        <v>245</v>
      </c>
      <c r="C599" s="83">
        <v>13</v>
      </c>
      <c r="D599" s="86"/>
      <c r="E599" s="86"/>
      <c r="F599" s="86"/>
      <c r="G599" s="86"/>
      <c r="H599" s="86"/>
      <c r="I599" s="86"/>
      <c r="J599" s="86">
        <v>5</v>
      </c>
      <c r="K599" s="86"/>
      <c r="L599" s="86"/>
      <c r="M599" s="86"/>
      <c r="N599" s="86"/>
      <c r="O599" s="86"/>
      <c r="P599" s="86">
        <v>5</v>
      </c>
      <c r="Q599" s="86"/>
      <c r="R599" s="86">
        <v>5</v>
      </c>
      <c r="S599" s="86">
        <v>18</v>
      </c>
      <c r="T599" s="86"/>
      <c r="U599" s="86"/>
      <c r="V599" s="86"/>
      <c r="W599" s="86">
        <v>128</v>
      </c>
      <c r="X599" s="86"/>
      <c r="Y599" s="86"/>
      <c r="Z599" s="86"/>
      <c r="AA599" s="86"/>
      <c r="AB599" s="86"/>
      <c r="AC599" s="87"/>
      <c r="AD599" s="83"/>
    </row>
    <row r="600" spans="1:30" ht="129.75" thickBot="1">
      <c r="A600" s="83">
        <v>7</v>
      </c>
      <c r="B600" s="75" t="s">
        <v>66</v>
      </c>
      <c r="C600" s="84"/>
      <c r="D600" s="86"/>
      <c r="E600" s="86">
        <v>1.4</v>
      </c>
      <c r="F600" s="86"/>
      <c r="G600" s="86"/>
      <c r="H600" s="86"/>
      <c r="I600" s="86"/>
      <c r="J600" s="86">
        <v>6</v>
      </c>
      <c r="K600" s="86"/>
      <c r="L600" s="86"/>
      <c r="M600" s="86"/>
      <c r="N600" s="86"/>
      <c r="O600" s="87"/>
      <c r="P600" s="86">
        <v>0.8</v>
      </c>
      <c r="Q600" s="87"/>
      <c r="R600" s="84"/>
      <c r="S600" s="84"/>
      <c r="T600" s="87"/>
      <c r="U600" s="84"/>
      <c r="V600" s="86"/>
      <c r="W600" s="87"/>
      <c r="X600" s="84"/>
      <c r="Y600" s="87"/>
      <c r="Z600" s="84"/>
      <c r="AA600" s="86"/>
      <c r="AB600" s="84"/>
      <c r="AC600" s="87"/>
      <c r="AD600" s="83"/>
    </row>
    <row r="601" spans="1:30" ht="65.25" thickBot="1">
      <c r="A601" s="83">
        <v>65</v>
      </c>
      <c r="B601" s="22" t="s">
        <v>231</v>
      </c>
      <c r="C601" s="84"/>
      <c r="D601" s="86"/>
      <c r="E601" s="86"/>
      <c r="F601" s="86"/>
      <c r="G601" s="86">
        <v>26</v>
      </c>
      <c r="H601" s="86"/>
      <c r="I601" s="86"/>
      <c r="J601" s="86"/>
      <c r="K601" s="86"/>
      <c r="L601" s="86"/>
      <c r="M601" s="86"/>
      <c r="N601" s="87"/>
      <c r="O601" s="83"/>
      <c r="P601" s="87">
        <v>2</v>
      </c>
      <c r="Q601" s="83"/>
      <c r="R601" s="87"/>
      <c r="S601" s="83"/>
      <c r="T601" s="87"/>
      <c r="U601" s="84"/>
      <c r="V601" s="83"/>
      <c r="W601" s="87"/>
      <c r="X601" s="84"/>
      <c r="Y601" s="83"/>
      <c r="Z601" s="87"/>
      <c r="AA601" s="83"/>
      <c r="AB601" s="87"/>
      <c r="AC601" s="88"/>
      <c r="AD601" s="80"/>
    </row>
    <row r="602" spans="1:30" ht="65.25" thickBot="1">
      <c r="A602" s="99">
        <v>66</v>
      </c>
      <c r="B602" s="27" t="s">
        <v>146</v>
      </c>
      <c r="C602" s="83"/>
      <c r="D602" s="86"/>
      <c r="E602" s="83"/>
      <c r="F602" s="83"/>
      <c r="G602" s="83"/>
      <c r="H602" s="86"/>
      <c r="I602" s="86"/>
      <c r="J602" s="86"/>
      <c r="K602" s="86"/>
      <c r="L602" s="86"/>
      <c r="M602" s="86">
        <v>15</v>
      </c>
      <c r="N602" s="87"/>
      <c r="O602" s="84">
        <v>9</v>
      </c>
      <c r="P602" s="87"/>
      <c r="Q602" s="84"/>
      <c r="R602" s="87"/>
      <c r="S602" s="84"/>
      <c r="T602" s="87"/>
      <c r="U602" s="84"/>
      <c r="V602" s="84"/>
      <c r="W602" s="87"/>
      <c r="X602" s="84"/>
      <c r="Y602" s="84"/>
      <c r="Z602" s="87"/>
      <c r="AA602" s="84"/>
      <c r="AB602" s="84"/>
      <c r="AC602" s="88"/>
      <c r="AD602" s="83"/>
    </row>
    <row r="603" spans="1:30" ht="129.75" thickBot="1">
      <c r="A603" s="83" t="s">
        <v>32</v>
      </c>
      <c r="B603" s="22" t="s">
        <v>56</v>
      </c>
      <c r="C603" s="84">
        <v>20</v>
      </c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7"/>
      <c r="U603" s="83"/>
      <c r="V603" s="86"/>
      <c r="W603" s="87"/>
      <c r="X603" s="83"/>
      <c r="Y603" s="86"/>
      <c r="Z603" s="86"/>
      <c r="AA603" s="86"/>
      <c r="AB603" s="86"/>
      <c r="AC603" s="87"/>
      <c r="AD603" s="83"/>
    </row>
    <row r="604" spans="1:30" ht="129.75" thickBot="1">
      <c r="A604" s="83" t="s">
        <v>32</v>
      </c>
      <c r="B604" s="22" t="s">
        <v>58</v>
      </c>
      <c r="C604" s="84"/>
      <c r="D604" s="86">
        <v>40</v>
      </c>
      <c r="E604" s="86"/>
      <c r="F604" s="86"/>
      <c r="G604" s="86"/>
      <c r="H604" s="86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91"/>
      <c r="AD604" s="84"/>
    </row>
    <row r="605" spans="1:30" ht="65.25" thickBot="1">
      <c r="A605" s="84"/>
      <c r="B605" s="25" t="s">
        <v>29</v>
      </c>
      <c r="C605" s="84">
        <f aca="true" t="shared" si="104" ref="C605:AD605">SUM(C597:C604)</f>
        <v>33</v>
      </c>
      <c r="D605" s="84">
        <f t="shared" si="104"/>
        <v>40</v>
      </c>
      <c r="E605" s="84">
        <f t="shared" si="104"/>
        <v>1.4</v>
      </c>
      <c r="F605" s="84">
        <f t="shared" si="104"/>
        <v>0</v>
      </c>
      <c r="G605" s="84">
        <f t="shared" si="104"/>
        <v>26</v>
      </c>
      <c r="H605" s="84">
        <f t="shared" si="104"/>
        <v>0</v>
      </c>
      <c r="I605" s="84">
        <f t="shared" si="104"/>
        <v>18</v>
      </c>
      <c r="J605" s="84">
        <f t="shared" si="104"/>
        <v>94</v>
      </c>
      <c r="K605" s="84">
        <f t="shared" si="104"/>
        <v>0</v>
      </c>
      <c r="L605" s="84">
        <f t="shared" si="104"/>
        <v>0</v>
      </c>
      <c r="M605" s="84">
        <f t="shared" si="104"/>
        <v>15</v>
      </c>
      <c r="N605" s="84">
        <f t="shared" si="104"/>
        <v>0</v>
      </c>
      <c r="O605" s="84">
        <f t="shared" si="104"/>
        <v>9</v>
      </c>
      <c r="P605" s="84">
        <f t="shared" si="104"/>
        <v>9.8</v>
      </c>
      <c r="Q605" s="84">
        <f t="shared" si="104"/>
        <v>0</v>
      </c>
      <c r="R605" s="84">
        <f t="shared" si="104"/>
        <v>5</v>
      </c>
      <c r="S605" s="84">
        <f t="shared" si="104"/>
        <v>18</v>
      </c>
      <c r="T605" s="84">
        <f t="shared" si="104"/>
        <v>0</v>
      </c>
      <c r="U605" s="84">
        <f t="shared" si="104"/>
        <v>0</v>
      </c>
      <c r="V605" s="84">
        <f t="shared" si="104"/>
        <v>10</v>
      </c>
      <c r="W605" s="84">
        <f t="shared" si="104"/>
        <v>128</v>
      </c>
      <c r="X605" s="84">
        <f t="shared" si="104"/>
        <v>0</v>
      </c>
      <c r="Y605" s="84">
        <f t="shared" si="104"/>
        <v>7</v>
      </c>
      <c r="Z605" s="84">
        <f t="shared" si="104"/>
        <v>0</v>
      </c>
      <c r="AA605" s="84">
        <f t="shared" si="104"/>
        <v>0</v>
      </c>
      <c r="AB605" s="84">
        <f t="shared" si="104"/>
        <v>0</v>
      </c>
      <c r="AC605" s="88">
        <f t="shared" si="104"/>
        <v>0</v>
      </c>
      <c r="AD605" s="84">
        <f t="shared" si="104"/>
        <v>0</v>
      </c>
    </row>
    <row r="606" spans="1:30" ht="65.25" thickBot="1">
      <c r="A606" s="150" t="s">
        <v>145</v>
      </c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  <c r="AC606" s="151"/>
      <c r="AD606" s="152"/>
    </row>
    <row r="607" spans="1:30" ht="194.25" thickBot="1">
      <c r="A607" s="92">
        <v>21.1</v>
      </c>
      <c r="B607" s="27" t="s">
        <v>172</v>
      </c>
      <c r="C607" s="83"/>
      <c r="D607" s="86"/>
      <c r="E607" s="83"/>
      <c r="F607" s="83"/>
      <c r="G607" s="83"/>
      <c r="H607" s="86"/>
      <c r="I607" s="86"/>
      <c r="J607" s="86"/>
      <c r="K607" s="86"/>
      <c r="L607" s="86"/>
      <c r="M607" s="86"/>
      <c r="N607" s="87"/>
      <c r="O607" s="84"/>
      <c r="P607" s="87"/>
      <c r="Q607" s="84"/>
      <c r="R607" s="87"/>
      <c r="S607" s="84">
        <v>155</v>
      </c>
      <c r="T607" s="87"/>
      <c r="U607" s="84"/>
      <c r="V607" s="84"/>
      <c r="W607" s="87"/>
      <c r="X607" s="84"/>
      <c r="Y607" s="84"/>
      <c r="Z607" s="87"/>
      <c r="AA607" s="84"/>
      <c r="AB607" s="84"/>
      <c r="AC607" s="88"/>
      <c r="AD607" s="83"/>
    </row>
    <row r="608" spans="1:30" ht="129.75" thickBot="1">
      <c r="A608" s="83">
        <v>55</v>
      </c>
      <c r="B608" s="22" t="s">
        <v>248</v>
      </c>
      <c r="C608" s="84"/>
      <c r="D608" s="85"/>
      <c r="E608" s="85">
        <v>7</v>
      </c>
      <c r="F608" s="85"/>
      <c r="G608" s="85">
        <v>3</v>
      </c>
      <c r="H608" s="86"/>
      <c r="I608" s="86"/>
      <c r="J608" s="86"/>
      <c r="K608" s="86"/>
      <c r="L608" s="86">
        <v>10</v>
      </c>
      <c r="M608" s="86"/>
      <c r="N608" s="86"/>
      <c r="O608" s="86">
        <v>5</v>
      </c>
      <c r="P608" s="86">
        <v>2</v>
      </c>
      <c r="Q608" s="86">
        <v>1</v>
      </c>
      <c r="R608" s="86">
        <v>2</v>
      </c>
      <c r="S608" s="86"/>
      <c r="T608" s="86">
        <v>45</v>
      </c>
      <c r="U608" s="86"/>
      <c r="V608" s="86"/>
      <c r="W608" s="86"/>
      <c r="X608" s="86"/>
      <c r="Y608" s="86"/>
      <c r="Z608" s="86"/>
      <c r="AA608" s="86"/>
      <c r="AB608" s="83"/>
      <c r="AC608" s="87"/>
      <c r="AD608" s="84"/>
    </row>
    <row r="609" spans="1:30" ht="65.25" thickBot="1">
      <c r="A609" s="84"/>
      <c r="B609" s="25" t="s">
        <v>29</v>
      </c>
      <c r="C609" s="84">
        <f>C607+C608</f>
        <v>0</v>
      </c>
      <c r="D609" s="84">
        <f aca="true" t="shared" si="105" ref="D609:AD609">D607+D608</f>
        <v>0</v>
      </c>
      <c r="E609" s="84">
        <f t="shared" si="105"/>
        <v>7</v>
      </c>
      <c r="F609" s="84">
        <f t="shared" si="105"/>
        <v>0</v>
      </c>
      <c r="G609" s="84">
        <f t="shared" si="105"/>
        <v>3</v>
      </c>
      <c r="H609" s="84">
        <f t="shared" si="105"/>
        <v>0</v>
      </c>
      <c r="I609" s="84">
        <f t="shared" si="105"/>
        <v>0</v>
      </c>
      <c r="J609" s="84">
        <f t="shared" si="105"/>
        <v>0</v>
      </c>
      <c r="K609" s="84">
        <f t="shared" si="105"/>
        <v>0</v>
      </c>
      <c r="L609" s="84">
        <f t="shared" si="105"/>
        <v>10</v>
      </c>
      <c r="M609" s="84">
        <f t="shared" si="105"/>
        <v>0</v>
      </c>
      <c r="N609" s="84">
        <f t="shared" si="105"/>
        <v>0</v>
      </c>
      <c r="O609" s="84">
        <f t="shared" si="105"/>
        <v>5</v>
      </c>
      <c r="P609" s="84">
        <f t="shared" si="105"/>
        <v>2</v>
      </c>
      <c r="Q609" s="84">
        <f t="shared" si="105"/>
        <v>1</v>
      </c>
      <c r="R609" s="84">
        <f t="shared" si="105"/>
        <v>2</v>
      </c>
      <c r="S609" s="84">
        <f t="shared" si="105"/>
        <v>155</v>
      </c>
      <c r="T609" s="84">
        <f t="shared" si="105"/>
        <v>45</v>
      </c>
      <c r="U609" s="84">
        <f t="shared" si="105"/>
        <v>0</v>
      </c>
      <c r="V609" s="84">
        <f t="shared" si="105"/>
        <v>0</v>
      </c>
      <c r="W609" s="84">
        <f t="shared" si="105"/>
        <v>0</v>
      </c>
      <c r="X609" s="84">
        <f t="shared" si="105"/>
        <v>0</v>
      </c>
      <c r="Y609" s="84">
        <f t="shared" si="105"/>
        <v>0</v>
      </c>
      <c r="Z609" s="84">
        <f t="shared" si="105"/>
        <v>0</v>
      </c>
      <c r="AA609" s="84">
        <f t="shared" si="105"/>
        <v>0</v>
      </c>
      <c r="AB609" s="84">
        <f t="shared" si="105"/>
        <v>0</v>
      </c>
      <c r="AC609" s="84">
        <f t="shared" si="105"/>
        <v>0</v>
      </c>
      <c r="AD609" s="84">
        <f t="shared" si="105"/>
        <v>0</v>
      </c>
    </row>
    <row r="610" spans="1:30" ht="65.25" thickBot="1">
      <c r="A610" s="150" t="s">
        <v>144</v>
      </c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  <c r="AC610" s="151"/>
      <c r="AD610" s="152"/>
    </row>
    <row r="611" spans="1:30" ht="129.75" thickBot="1">
      <c r="A611" s="84">
        <v>71</v>
      </c>
      <c r="B611" s="25" t="s">
        <v>261</v>
      </c>
      <c r="C611" s="84"/>
      <c r="D611" s="85"/>
      <c r="E611" s="85">
        <v>2</v>
      </c>
      <c r="F611" s="85"/>
      <c r="G611" s="85"/>
      <c r="H611" s="86"/>
      <c r="I611" s="86"/>
      <c r="J611" s="86">
        <v>30</v>
      </c>
      <c r="K611" s="86"/>
      <c r="L611" s="86"/>
      <c r="M611" s="86"/>
      <c r="N611" s="86"/>
      <c r="O611" s="86"/>
      <c r="P611" s="86">
        <v>2</v>
      </c>
      <c r="Q611" s="86"/>
      <c r="R611" s="86"/>
      <c r="S611" s="86">
        <v>25</v>
      </c>
      <c r="T611" s="87"/>
      <c r="U611" s="84"/>
      <c r="V611" s="87"/>
      <c r="W611" s="84"/>
      <c r="X611" s="86">
        <v>97</v>
      </c>
      <c r="Y611" s="86"/>
      <c r="Z611" s="86"/>
      <c r="AA611" s="86"/>
      <c r="AB611" s="86"/>
      <c r="AC611" s="87"/>
      <c r="AD611" s="83"/>
    </row>
    <row r="612" spans="1:30" ht="65.25" thickBot="1">
      <c r="A612" s="84">
        <v>79</v>
      </c>
      <c r="B612" s="22" t="s">
        <v>262</v>
      </c>
      <c r="C612" s="84"/>
      <c r="D612" s="86"/>
      <c r="E612" s="86"/>
      <c r="F612" s="86"/>
      <c r="G612" s="86"/>
      <c r="H612" s="86"/>
      <c r="I612" s="86">
        <v>114</v>
      </c>
      <c r="J612" s="86"/>
      <c r="K612" s="86"/>
      <c r="L612" s="86"/>
      <c r="M612" s="86"/>
      <c r="N612" s="87"/>
      <c r="O612" s="83"/>
      <c r="P612" s="87">
        <v>5</v>
      </c>
      <c r="Q612" s="83"/>
      <c r="R612" s="87"/>
      <c r="S612" s="83"/>
      <c r="T612" s="90"/>
      <c r="U612" s="83"/>
      <c r="V612" s="83"/>
      <c r="W612" s="87"/>
      <c r="X612" s="83"/>
      <c r="Y612" s="83"/>
      <c r="Z612" s="87"/>
      <c r="AA612" s="83"/>
      <c r="AB612" s="87"/>
      <c r="AC612" s="90"/>
      <c r="AD612" s="83"/>
    </row>
    <row r="613" spans="1:30" ht="129.75" thickBot="1">
      <c r="A613" s="83" t="s">
        <v>32</v>
      </c>
      <c r="B613" s="22" t="s">
        <v>56</v>
      </c>
      <c r="C613" s="86">
        <v>15</v>
      </c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7"/>
      <c r="U613" s="83"/>
      <c r="V613" s="86"/>
      <c r="W613" s="87"/>
      <c r="X613" s="83"/>
      <c r="Y613" s="86"/>
      <c r="Z613" s="86"/>
      <c r="AA613" s="86"/>
      <c r="AB613" s="86"/>
      <c r="AC613" s="87"/>
      <c r="AD613" s="83"/>
    </row>
    <row r="614" spans="1:30" ht="129.75" thickBot="1">
      <c r="A614" s="83">
        <v>69</v>
      </c>
      <c r="B614" s="22" t="s">
        <v>106</v>
      </c>
      <c r="C614" s="84"/>
      <c r="D614" s="86"/>
      <c r="E614" s="86"/>
      <c r="F614" s="86"/>
      <c r="G614" s="86"/>
      <c r="H614" s="86"/>
      <c r="I614" s="86"/>
      <c r="J614" s="86"/>
      <c r="K614" s="86"/>
      <c r="L614" s="86">
        <v>85</v>
      </c>
      <c r="M614" s="8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7"/>
      <c r="AD614" s="84"/>
    </row>
    <row r="615" spans="1:30" ht="65.25" thickBot="1">
      <c r="A615" s="89">
        <v>31</v>
      </c>
      <c r="B615" s="23" t="s">
        <v>9</v>
      </c>
      <c r="C615" s="84"/>
      <c r="D615" s="86"/>
      <c r="E615" s="86"/>
      <c r="F615" s="86"/>
      <c r="G615" s="86"/>
      <c r="H615" s="86"/>
      <c r="I615" s="86"/>
      <c r="J615" s="86"/>
      <c r="K615" s="86"/>
      <c r="L615" s="86">
        <v>4</v>
      </c>
      <c r="M615" s="86"/>
      <c r="N615" s="86"/>
      <c r="O615" s="84">
        <v>10</v>
      </c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4">
        <v>0.48</v>
      </c>
      <c r="AB615" s="86"/>
      <c r="AC615" s="87"/>
      <c r="AD615" s="83"/>
    </row>
    <row r="616" spans="1:30" ht="65.25" thickBot="1">
      <c r="A616" s="80"/>
      <c r="B616" s="22" t="s">
        <v>6</v>
      </c>
      <c r="C616" s="84">
        <f aca="true" t="shared" si="106" ref="C616:AD616">SUM(C611:C615)</f>
        <v>15</v>
      </c>
      <c r="D616" s="84">
        <f t="shared" si="106"/>
        <v>0</v>
      </c>
      <c r="E616" s="84">
        <f t="shared" si="106"/>
        <v>2</v>
      </c>
      <c r="F616" s="84">
        <f t="shared" si="106"/>
        <v>0</v>
      </c>
      <c r="G616" s="84">
        <f t="shared" si="106"/>
        <v>0</v>
      </c>
      <c r="H616" s="84">
        <f t="shared" si="106"/>
        <v>0</v>
      </c>
      <c r="I616" s="84">
        <f t="shared" si="106"/>
        <v>114</v>
      </c>
      <c r="J616" s="84">
        <f t="shared" si="106"/>
        <v>30</v>
      </c>
      <c r="K616" s="84">
        <f t="shared" si="106"/>
        <v>0</v>
      </c>
      <c r="L616" s="84">
        <f t="shared" si="106"/>
        <v>89</v>
      </c>
      <c r="M616" s="84">
        <f t="shared" si="106"/>
        <v>0</v>
      </c>
      <c r="N616" s="84">
        <f t="shared" si="106"/>
        <v>0</v>
      </c>
      <c r="O616" s="84">
        <f t="shared" si="106"/>
        <v>10</v>
      </c>
      <c r="P616" s="84">
        <f t="shared" si="106"/>
        <v>7</v>
      </c>
      <c r="Q616" s="84">
        <f t="shared" si="106"/>
        <v>0</v>
      </c>
      <c r="R616" s="84">
        <f t="shared" si="106"/>
        <v>0</v>
      </c>
      <c r="S616" s="84">
        <f t="shared" si="106"/>
        <v>25</v>
      </c>
      <c r="T616" s="84">
        <f t="shared" si="106"/>
        <v>0</v>
      </c>
      <c r="U616" s="84">
        <f t="shared" si="106"/>
        <v>0</v>
      </c>
      <c r="V616" s="84">
        <f t="shared" si="106"/>
        <v>0</v>
      </c>
      <c r="W616" s="84">
        <f t="shared" si="106"/>
        <v>0</v>
      </c>
      <c r="X616" s="84">
        <f t="shared" si="106"/>
        <v>97</v>
      </c>
      <c r="Y616" s="84">
        <f t="shared" si="106"/>
        <v>0</v>
      </c>
      <c r="Z616" s="84">
        <f t="shared" si="106"/>
        <v>0</v>
      </c>
      <c r="AA616" s="84">
        <f t="shared" si="106"/>
        <v>0.48</v>
      </c>
      <c r="AB616" s="84">
        <f t="shared" si="106"/>
        <v>0</v>
      </c>
      <c r="AC616" s="88">
        <f t="shared" si="106"/>
        <v>0</v>
      </c>
      <c r="AD616" s="84">
        <f t="shared" si="106"/>
        <v>0</v>
      </c>
    </row>
    <row r="617" spans="1:30" ht="194.25" thickBot="1">
      <c r="A617" s="145"/>
      <c r="B617" s="22" t="s">
        <v>148</v>
      </c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8"/>
      <c r="AD617" s="84"/>
    </row>
    <row r="618" spans="1:30" ht="65.25" thickBot="1">
      <c r="A618" s="83"/>
      <c r="B618" s="93" t="s">
        <v>10</v>
      </c>
      <c r="C618" s="103">
        <f aca="true" t="shared" si="107" ref="C618:AD618">C592+C595+C605+C609+C616</f>
        <v>68</v>
      </c>
      <c r="D618" s="103">
        <f t="shared" si="107"/>
        <v>40</v>
      </c>
      <c r="E618" s="103">
        <f t="shared" si="107"/>
        <v>10.4</v>
      </c>
      <c r="F618" s="103">
        <f t="shared" si="107"/>
        <v>0</v>
      </c>
      <c r="G618" s="103">
        <f t="shared" si="107"/>
        <v>52</v>
      </c>
      <c r="H618" s="103">
        <f t="shared" si="107"/>
        <v>0</v>
      </c>
      <c r="I618" s="103">
        <f t="shared" si="107"/>
        <v>132</v>
      </c>
      <c r="J618" s="103">
        <f t="shared" si="107"/>
        <v>124</v>
      </c>
      <c r="K618" s="103">
        <f t="shared" si="107"/>
        <v>100</v>
      </c>
      <c r="L618" s="103">
        <f t="shared" si="107"/>
        <v>99</v>
      </c>
      <c r="M618" s="103">
        <f t="shared" si="107"/>
        <v>15</v>
      </c>
      <c r="N618" s="103">
        <f t="shared" si="107"/>
        <v>0</v>
      </c>
      <c r="O618" s="103">
        <f t="shared" si="107"/>
        <v>36</v>
      </c>
      <c r="P618" s="103">
        <f t="shared" si="107"/>
        <v>25.8</v>
      </c>
      <c r="Q618" s="103">
        <f t="shared" si="107"/>
        <v>1</v>
      </c>
      <c r="R618" s="103">
        <f t="shared" si="107"/>
        <v>7</v>
      </c>
      <c r="S618" s="103">
        <f t="shared" si="107"/>
        <v>401</v>
      </c>
      <c r="T618" s="103">
        <f t="shared" si="107"/>
        <v>45</v>
      </c>
      <c r="U618" s="103">
        <f t="shared" si="107"/>
        <v>0</v>
      </c>
      <c r="V618" s="103">
        <f t="shared" si="107"/>
        <v>10</v>
      </c>
      <c r="W618" s="103">
        <f t="shared" si="107"/>
        <v>128</v>
      </c>
      <c r="X618" s="103">
        <f t="shared" si="107"/>
        <v>97</v>
      </c>
      <c r="Y618" s="103">
        <f t="shared" si="107"/>
        <v>7</v>
      </c>
      <c r="Z618" s="103">
        <f t="shared" si="107"/>
        <v>9</v>
      </c>
      <c r="AA618" s="103">
        <f t="shared" si="107"/>
        <v>0.48</v>
      </c>
      <c r="AB618" s="103">
        <f t="shared" si="107"/>
        <v>2</v>
      </c>
      <c r="AC618" s="104">
        <f t="shared" si="107"/>
        <v>0</v>
      </c>
      <c r="AD618" s="103">
        <f t="shared" si="107"/>
        <v>0</v>
      </c>
    </row>
    <row r="619" spans="1:30" ht="65.25" thickBot="1">
      <c r="A619" s="150" t="s">
        <v>62</v>
      </c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  <c r="AC619" s="151"/>
      <c r="AD619" s="152"/>
    </row>
    <row r="620" spans="1:30" ht="65.25" thickBot="1">
      <c r="A620" s="150" t="s">
        <v>96</v>
      </c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  <c r="AC620" s="151"/>
      <c r="AD620" s="152"/>
    </row>
    <row r="621" spans="1:30" ht="46.5" customHeight="1">
      <c r="A621" s="166" t="s">
        <v>30</v>
      </c>
      <c r="B621" s="168" t="s">
        <v>23</v>
      </c>
      <c r="C621" s="153" t="s">
        <v>116</v>
      </c>
      <c r="D621" s="153" t="s">
        <v>117</v>
      </c>
      <c r="E621" s="153" t="s">
        <v>118</v>
      </c>
      <c r="F621" s="153" t="s">
        <v>119</v>
      </c>
      <c r="G621" s="153" t="s">
        <v>120</v>
      </c>
      <c r="H621" s="153" t="s">
        <v>121</v>
      </c>
      <c r="I621" s="153" t="s">
        <v>110</v>
      </c>
      <c r="J621" s="153" t="s">
        <v>257</v>
      </c>
      <c r="K621" s="140"/>
      <c r="L621" s="153" t="s">
        <v>142</v>
      </c>
      <c r="M621" s="153" t="s">
        <v>79</v>
      </c>
      <c r="N621" s="153" t="s">
        <v>123</v>
      </c>
      <c r="O621" s="153" t="s">
        <v>80</v>
      </c>
      <c r="P621" s="153" t="s">
        <v>124</v>
      </c>
      <c r="Q621" s="153" t="s">
        <v>81</v>
      </c>
      <c r="R621" s="153" t="s">
        <v>125</v>
      </c>
      <c r="S621" s="153" t="s">
        <v>126</v>
      </c>
      <c r="T621" s="153" t="s">
        <v>127</v>
      </c>
      <c r="U621" s="140"/>
      <c r="V621" s="153" t="s">
        <v>113</v>
      </c>
      <c r="W621" s="153" t="s">
        <v>129</v>
      </c>
      <c r="X621" s="153" t="s">
        <v>84</v>
      </c>
      <c r="Y621" s="153" t="s">
        <v>82</v>
      </c>
      <c r="Z621" s="153" t="s">
        <v>83</v>
      </c>
      <c r="AA621" s="153" t="s">
        <v>85</v>
      </c>
      <c r="AB621" s="140"/>
      <c r="AC621" s="158" t="s">
        <v>78</v>
      </c>
      <c r="AD621" s="153" t="s">
        <v>138</v>
      </c>
    </row>
    <row r="622" spans="1:30" ht="406.5" customHeight="1" thickBot="1">
      <c r="A622" s="167"/>
      <c r="B622" s="169"/>
      <c r="C622" s="154"/>
      <c r="D622" s="154"/>
      <c r="E622" s="154"/>
      <c r="F622" s="154"/>
      <c r="G622" s="154"/>
      <c r="H622" s="154"/>
      <c r="I622" s="154"/>
      <c r="J622" s="154"/>
      <c r="K622" s="141" t="s">
        <v>122</v>
      </c>
      <c r="L622" s="154"/>
      <c r="M622" s="154"/>
      <c r="N622" s="154"/>
      <c r="O622" s="154"/>
      <c r="P622" s="154"/>
      <c r="Q622" s="154"/>
      <c r="R622" s="154"/>
      <c r="S622" s="154"/>
      <c r="T622" s="154"/>
      <c r="U622" s="141" t="s">
        <v>128</v>
      </c>
      <c r="V622" s="154"/>
      <c r="W622" s="154"/>
      <c r="X622" s="154"/>
      <c r="Y622" s="154"/>
      <c r="Z622" s="154"/>
      <c r="AA622" s="154"/>
      <c r="AB622" s="141" t="s">
        <v>77</v>
      </c>
      <c r="AC622" s="159"/>
      <c r="AD622" s="154"/>
    </row>
    <row r="623" spans="1:30" ht="65.25" thickBot="1">
      <c r="A623" s="145">
        <v>1</v>
      </c>
      <c r="B623" s="79">
        <v>2</v>
      </c>
      <c r="C623" s="80" t="s">
        <v>54</v>
      </c>
      <c r="D623" s="81">
        <v>4</v>
      </c>
      <c r="E623" s="80">
        <v>5</v>
      </c>
      <c r="F623" s="80">
        <v>6</v>
      </c>
      <c r="G623" s="80">
        <v>7</v>
      </c>
      <c r="H623" s="80">
        <v>8</v>
      </c>
      <c r="I623" s="80" t="s">
        <v>55</v>
      </c>
      <c r="J623" s="81">
        <v>10</v>
      </c>
      <c r="K623" s="80">
        <v>11</v>
      </c>
      <c r="L623" s="80">
        <v>12</v>
      </c>
      <c r="M623" s="80">
        <v>13</v>
      </c>
      <c r="N623" s="80">
        <v>14</v>
      </c>
      <c r="O623" s="80">
        <v>15</v>
      </c>
      <c r="P623" s="143">
        <v>16</v>
      </c>
      <c r="Q623" s="80">
        <v>17</v>
      </c>
      <c r="R623" s="143">
        <v>18</v>
      </c>
      <c r="S623" s="80">
        <v>19</v>
      </c>
      <c r="T623" s="143">
        <v>20</v>
      </c>
      <c r="U623" s="143">
        <v>21</v>
      </c>
      <c r="V623" s="80">
        <v>22</v>
      </c>
      <c r="W623" s="80">
        <v>23</v>
      </c>
      <c r="X623" s="143">
        <v>24</v>
      </c>
      <c r="Y623" s="80">
        <v>25</v>
      </c>
      <c r="Z623" s="80">
        <v>26</v>
      </c>
      <c r="AA623" s="80">
        <v>27</v>
      </c>
      <c r="AB623" s="143">
        <v>28</v>
      </c>
      <c r="AC623" s="142">
        <v>29</v>
      </c>
      <c r="AD623" s="80">
        <v>31</v>
      </c>
    </row>
    <row r="624" spans="1:30" ht="65.25" thickBot="1">
      <c r="A624" s="150" t="s">
        <v>5</v>
      </c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  <c r="AC624" s="151"/>
      <c r="AD624" s="152"/>
    </row>
    <row r="625" spans="1:30" ht="129.75" thickBot="1">
      <c r="A625" s="94">
        <v>68</v>
      </c>
      <c r="B625" s="75" t="s">
        <v>220</v>
      </c>
      <c r="C625" s="95"/>
      <c r="D625" s="96"/>
      <c r="E625" s="96"/>
      <c r="F625" s="96"/>
      <c r="G625" s="96">
        <v>19</v>
      </c>
      <c r="H625" s="96"/>
      <c r="I625" s="96"/>
      <c r="J625" s="96"/>
      <c r="K625" s="96"/>
      <c r="L625" s="96"/>
      <c r="M625" s="96"/>
      <c r="N625" s="94"/>
      <c r="O625" s="97">
        <v>4</v>
      </c>
      <c r="P625" s="94">
        <v>2</v>
      </c>
      <c r="Q625" s="97"/>
      <c r="R625" s="94"/>
      <c r="S625" s="97">
        <v>113</v>
      </c>
      <c r="T625" s="94"/>
      <c r="U625" s="97"/>
      <c r="V625" s="95"/>
      <c r="W625" s="97"/>
      <c r="X625" s="94"/>
      <c r="Y625" s="97"/>
      <c r="Z625" s="94"/>
      <c r="AA625" s="97"/>
      <c r="AB625" s="95"/>
      <c r="AC625" s="98"/>
      <c r="AD625" s="94"/>
    </row>
    <row r="626" spans="1:30" ht="129.75" thickBot="1">
      <c r="A626" s="83">
        <v>2</v>
      </c>
      <c r="B626" s="22" t="s">
        <v>69</v>
      </c>
      <c r="C626" s="84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3"/>
      <c r="O626" s="84">
        <v>8</v>
      </c>
      <c r="P626" s="83"/>
      <c r="Q626" s="87"/>
      <c r="R626" s="83"/>
      <c r="S626" s="84">
        <v>90</v>
      </c>
      <c r="T626" s="83"/>
      <c r="U626" s="87"/>
      <c r="V626" s="83"/>
      <c r="W626" s="87"/>
      <c r="X626" s="83"/>
      <c r="Y626" s="87"/>
      <c r="Z626" s="83"/>
      <c r="AA626" s="87"/>
      <c r="AB626" s="83">
        <v>2</v>
      </c>
      <c r="AC626" s="90"/>
      <c r="AD626" s="84"/>
    </row>
    <row r="627" spans="1:30" ht="65.25" thickBot="1">
      <c r="A627" s="83">
        <v>86</v>
      </c>
      <c r="B627" s="22" t="s">
        <v>206</v>
      </c>
      <c r="C627" s="86">
        <v>20</v>
      </c>
      <c r="D627" s="86"/>
      <c r="E627" s="86"/>
      <c r="F627" s="86"/>
      <c r="G627" s="86"/>
      <c r="H627" s="86"/>
      <c r="I627" s="86"/>
      <c r="J627" s="86"/>
      <c r="K627" s="86"/>
      <c r="L627" s="86">
        <v>10</v>
      </c>
      <c r="M627" s="8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7"/>
      <c r="AD627" s="83"/>
    </row>
    <row r="628" spans="1:30" ht="65.25" thickBot="1">
      <c r="A628" s="83"/>
      <c r="B628" s="22" t="s">
        <v>6</v>
      </c>
      <c r="C628" s="84">
        <f aca="true" t="shared" si="108" ref="C628:AD628">SUM(C625:C627)</f>
        <v>20</v>
      </c>
      <c r="D628" s="84">
        <f t="shared" si="108"/>
        <v>0</v>
      </c>
      <c r="E628" s="84">
        <f t="shared" si="108"/>
        <v>0</v>
      </c>
      <c r="F628" s="84">
        <f t="shared" si="108"/>
        <v>0</v>
      </c>
      <c r="G628" s="84">
        <f t="shared" si="108"/>
        <v>19</v>
      </c>
      <c r="H628" s="84">
        <f t="shared" si="108"/>
        <v>0</v>
      </c>
      <c r="I628" s="84">
        <f t="shared" si="108"/>
        <v>0</v>
      </c>
      <c r="J628" s="84">
        <f t="shared" si="108"/>
        <v>0</v>
      </c>
      <c r="K628" s="84">
        <f t="shared" si="108"/>
        <v>0</v>
      </c>
      <c r="L628" s="84">
        <f t="shared" si="108"/>
        <v>10</v>
      </c>
      <c r="M628" s="84">
        <f t="shared" si="108"/>
        <v>0</v>
      </c>
      <c r="N628" s="84">
        <f t="shared" si="108"/>
        <v>0</v>
      </c>
      <c r="O628" s="84">
        <f t="shared" si="108"/>
        <v>12</v>
      </c>
      <c r="P628" s="84">
        <f t="shared" si="108"/>
        <v>2</v>
      </c>
      <c r="Q628" s="84">
        <f t="shared" si="108"/>
        <v>0</v>
      </c>
      <c r="R628" s="84">
        <f t="shared" si="108"/>
        <v>0</v>
      </c>
      <c r="S628" s="84">
        <f t="shared" si="108"/>
        <v>203</v>
      </c>
      <c r="T628" s="84">
        <f t="shared" si="108"/>
        <v>0</v>
      </c>
      <c r="U628" s="84">
        <f t="shared" si="108"/>
        <v>0</v>
      </c>
      <c r="V628" s="84">
        <f t="shared" si="108"/>
        <v>0</v>
      </c>
      <c r="W628" s="84">
        <f t="shared" si="108"/>
        <v>0</v>
      </c>
      <c r="X628" s="84">
        <f t="shared" si="108"/>
        <v>0</v>
      </c>
      <c r="Y628" s="84">
        <f t="shared" si="108"/>
        <v>0</v>
      </c>
      <c r="Z628" s="84">
        <f t="shared" si="108"/>
        <v>0</v>
      </c>
      <c r="AA628" s="84">
        <f t="shared" si="108"/>
        <v>0</v>
      </c>
      <c r="AB628" s="84">
        <f t="shared" si="108"/>
        <v>2</v>
      </c>
      <c r="AC628" s="88">
        <f t="shared" si="108"/>
        <v>0</v>
      </c>
      <c r="AD628" s="84">
        <f t="shared" si="108"/>
        <v>0</v>
      </c>
    </row>
    <row r="629" spans="1:30" ht="65.25" thickBot="1">
      <c r="A629" s="155" t="s">
        <v>53</v>
      </c>
      <c r="B629" s="156"/>
      <c r="C629" s="156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  <c r="AA629" s="156"/>
      <c r="AB629" s="156"/>
      <c r="AC629" s="156"/>
      <c r="AD629" s="157"/>
    </row>
    <row r="630" spans="1:30" ht="65.25" thickBot="1">
      <c r="A630" s="83" t="s">
        <v>32</v>
      </c>
      <c r="B630" s="25" t="s">
        <v>182</v>
      </c>
      <c r="C630" s="84"/>
      <c r="D630" s="86"/>
      <c r="E630" s="86"/>
      <c r="F630" s="86"/>
      <c r="G630" s="86"/>
      <c r="H630" s="86"/>
      <c r="I630" s="86"/>
      <c r="J630" s="86"/>
      <c r="K630" s="86">
        <v>100</v>
      </c>
      <c r="L630" s="86"/>
      <c r="M630" s="86"/>
      <c r="N630" s="87"/>
      <c r="O630" s="84"/>
      <c r="P630" s="87"/>
      <c r="Q630" s="84"/>
      <c r="R630" s="87"/>
      <c r="S630" s="84"/>
      <c r="T630" s="87"/>
      <c r="U630" s="84"/>
      <c r="V630" s="84"/>
      <c r="W630" s="87"/>
      <c r="X630" s="84"/>
      <c r="Y630" s="84"/>
      <c r="Z630" s="87"/>
      <c r="AA630" s="84"/>
      <c r="AB630" s="87"/>
      <c r="AC630" s="88"/>
      <c r="AD630" s="83"/>
    </row>
    <row r="631" spans="1:30" ht="65.25" thickBot="1">
      <c r="A631" s="83"/>
      <c r="B631" s="22" t="s">
        <v>29</v>
      </c>
      <c r="C631" s="86">
        <f>SUM(C630)</f>
        <v>0</v>
      </c>
      <c r="D631" s="86">
        <f>SUM(D630)</f>
        <v>0</v>
      </c>
      <c r="E631" s="86">
        <f aca="true" t="shared" si="109" ref="E631:AC631">SUM(E630)</f>
        <v>0</v>
      </c>
      <c r="F631" s="86">
        <f t="shared" si="109"/>
        <v>0</v>
      </c>
      <c r="G631" s="86">
        <f t="shared" si="109"/>
        <v>0</v>
      </c>
      <c r="H631" s="86">
        <f t="shared" si="109"/>
        <v>0</v>
      </c>
      <c r="I631" s="86">
        <f t="shared" si="109"/>
        <v>0</v>
      </c>
      <c r="J631" s="86">
        <f t="shared" si="109"/>
        <v>0</v>
      </c>
      <c r="K631" s="86">
        <f t="shared" si="109"/>
        <v>100</v>
      </c>
      <c r="L631" s="86">
        <f t="shared" si="109"/>
        <v>0</v>
      </c>
      <c r="M631" s="86">
        <f t="shared" si="109"/>
        <v>0</v>
      </c>
      <c r="N631" s="86">
        <f t="shared" si="109"/>
        <v>0</v>
      </c>
      <c r="O631" s="86">
        <f t="shared" si="109"/>
        <v>0</v>
      </c>
      <c r="P631" s="86">
        <f t="shared" si="109"/>
        <v>0</v>
      </c>
      <c r="Q631" s="86">
        <f t="shared" si="109"/>
        <v>0</v>
      </c>
      <c r="R631" s="86">
        <f t="shared" si="109"/>
        <v>0</v>
      </c>
      <c r="S631" s="86">
        <f t="shared" si="109"/>
        <v>0</v>
      </c>
      <c r="T631" s="86">
        <f t="shared" si="109"/>
        <v>0</v>
      </c>
      <c r="U631" s="86">
        <f t="shared" si="109"/>
        <v>0</v>
      </c>
      <c r="V631" s="86">
        <f t="shared" si="109"/>
        <v>0</v>
      </c>
      <c r="W631" s="86">
        <f t="shared" si="109"/>
        <v>0</v>
      </c>
      <c r="X631" s="86">
        <f t="shared" si="109"/>
        <v>0</v>
      </c>
      <c r="Y631" s="86">
        <f t="shared" si="109"/>
        <v>0</v>
      </c>
      <c r="Z631" s="86">
        <f t="shared" si="109"/>
        <v>0</v>
      </c>
      <c r="AA631" s="86">
        <f t="shared" si="109"/>
        <v>0</v>
      </c>
      <c r="AB631" s="86">
        <f t="shared" si="109"/>
        <v>0</v>
      </c>
      <c r="AC631" s="87">
        <f t="shared" si="109"/>
        <v>0</v>
      </c>
      <c r="AD631" s="83">
        <f>SUM(AD630)</f>
        <v>0</v>
      </c>
    </row>
    <row r="632" spans="1:30" ht="65.25" thickBot="1">
      <c r="A632" s="150" t="s">
        <v>8</v>
      </c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  <c r="AC632" s="151"/>
      <c r="AD632" s="152"/>
    </row>
    <row r="633" spans="1:30" ht="65.25" thickBot="1">
      <c r="A633" s="84">
        <v>51</v>
      </c>
      <c r="B633" s="22" t="s">
        <v>226</v>
      </c>
      <c r="C633" s="84"/>
      <c r="D633" s="86"/>
      <c r="E633" s="86"/>
      <c r="F633" s="86"/>
      <c r="G633" s="86"/>
      <c r="H633" s="86"/>
      <c r="I633" s="86"/>
      <c r="J633" s="86">
        <v>28.8</v>
      </c>
      <c r="K633" s="86"/>
      <c r="L633" s="86"/>
      <c r="M633" s="86"/>
      <c r="N633" s="87"/>
      <c r="O633" s="83"/>
      <c r="P633" s="87"/>
      <c r="Q633" s="83">
        <v>3</v>
      </c>
      <c r="R633" s="87"/>
      <c r="S633" s="83"/>
      <c r="T633" s="87"/>
      <c r="U633" s="84"/>
      <c r="V633" s="83"/>
      <c r="W633" s="87"/>
      <c r="X633" s="84"/>
      <c r="Y633" s="83"/>
      <c r="Z633" s="87"/>
      <c r="AA633" s="83"/>
      <c r="AB633" s="84"/>
      <c r="AC633" s="87"/>
      <c r="AD633" s="83"/>
    </row>
    <row r="634" spans="1:30" ht="129.75" thickBot="1">
      <c r="A634" s="83">
        <v>92</v>
      </c>
      <c r="B634" s="22" t="s">
        <v>238</v>
      </c>
      <c r="C634" s="84"/>
      <c r="D634" s="85"/>
      <c r="E634" s="85"/>
      <c r="F634" s="85"/>
      <c r="G634" s="85"/>
      <c r="H634" s="86"/>
      <c r="I634" s="86">
        <v>75</v>
      </c>
      <c r="J634" s="86">
        <v>17.2</v>
      </c>
      <c r="K634" s="86"/>
      <c r="L634" s="86"/>
      <c r="M634" s="86"/>
      <c r="N634" s="87"/>
      <c r="O634" s="84"/>
      <c r="P634" s="87">
        <v>2</v>
      </c>
      <c r="Q634" s="84"/>
      <c r="R634" s="87">
        <v>20</v>
      </c>
      <c r="S634" s="84"/>
      <c r="T634" s="87"/>
      <c r="U634" s="83"/>
      <c r="V634" s="83"/>
      <c r="W634" s="87">
        <v>19</v>
      </c>
      <c r="X634" s="83"/>
      <c r="Y634" s="84"/>
      <c r="Z634" s="84"/>
      <c r="AA634" s="87"/>
      <c r="AB634" s="83"/>
      <c r="AC634" s="88"/>
      <c r="AD634" s="84"/>
    </row>
    <row r="635" spans="1:30" ht="129.75" thickBot="1">
      <c r="A635" s="83">
        <v>81</v>
      </c>
      <c r="B635" s="22" t="s">
        <v>209</v>
      </c>
      <c r="C635" s="84"/>
      <c r="D635" s="86"/>
      <c r="E635" s="86">
        <v>1.5</v>
      </c>
      <c r="F635" s="86"/>
      <c r="G635" s="86"/>
      <c r="H635" s="86"/>
      <c r="I635" s="86"/>
      <c r="J635" s="86">
        <v>169.5</v>
      </c>
      <c r="K635" s="86"/>
      <c r="L635" s="86"/>
      <c r="M635" s="86"/>
      <c r="N635" s="86"/>
      <c r="O635" s="86">
        <v>3.5</v>
      </c>
      <c r="P635" s="86"/>
      <c r="Q635" s="86">
        <v>3.5</v>
      </c>
      <c r="R635" s="86"/>
      <c r="S635" s="86"/>
      <c r="T635" s="86"/>
      <c r="U635" s="86"/>
      <c r="V635" s="86">
        <v>89</v>
      </c>
      <c r="W635" s="86"/>
      <c r="X635" s="86"/>
      <c r="Y635" s="86"/>
      <c r="Z635" s="86"/>
      <c r="AA635" s="86"/>
      <c r="AB635" s="86"/>
      <c r="AC635" s="87"/>
      <c r="AD635" s="83"/>
    </row>
    <row r="636" spans="1:30" ht="194.25" thickBot="1">
      <c r="A636" s="83">
        <v>20</v>
      </c>
      <c r="B636" s="22" t="s">
        <v>232</v>
      </c>
      <c r="C636" s="84"/>
      <c r="D636" s="85"/>
      <c r="E636" s="85"/>
      <c r="F636" s="85">
        <v>6.8</v>
      </c>
      <c r="G636" s="85"/>
      <c r="H636" s="86"/>
      <c r="I636" s="86"/>
      <c r="J636" s="86"/>
      <c r="K636" s="86"/>
      <c r="L636" s="86"/>
      <c r="M636" s="86"/>
      <c r="N636" s="87"/>
      <c r="O636" s="84">
        <v>6</v>
      </c>
      <c r="P636" s="87"/>
      <c r="Q636" s="84"/>
      <c r="R636" s="87"/>
      <c r="S636" s="84"/>
      <c r="T636" s="87"/>
      <c r="U636" s="83"/>
      <c r="V636" s="84"/>
      <c r="W636" s="87"/>
      <c r="X636" s="83"/>
      <c r="Y636" s="84"/>
      <c r="Z636" s="84"/>
      <c r="AA636" s="87"/>
      <c r="AB636" s="83"/>
      <c r="AC636" s="88"/>
      <c r="AD636" s="83"/>
    </row>
    <row r="637" spans="1:30" ht="129.75" thickBot="1">
      <c r="A637" s="83" t="s">
        <v>32</v>
      </c>
      <c r="B637" s="22" t="s">
        <v>56</v>
      </c>
      <c r="C637" s="84">
        <v>20</v>
      </c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7"/>
      <c r="U637" s="83"/>
      <c r="V637" s="86"/>
      <c r="W637" s="87"/>
      <c r="X637" s="83"/>
      <c r="Y637" s="86"/>
      <c r="Z637" s="86"/>
      <c r="AA637" s="86"/>
      <c r="AB637" s="86"/>
      <c r="AC637" s="87"/>
      <c r="AD637" s="83"/>
    </row>
    <row r="638" spans="1:30" ht="129.75" thickBot="1">
      <c r="A638" s="83" t="s">
        <v>32</v>
      </c>
      <c r="B638" s="22" t="s">
        <v>58</v>
      </c>
      <c r="C638" s="84"/>
      <c r="D638" s="86">
        <v>40</v>
      </c>
      <c r="E638" s="86"/>
      <c r="F638" s="86"/>
      <c r="G638" s="86"/>
      <c r="H638" s="86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91"/>
      <c r="AD638" s="84"/>
    </row>
    <row r="639" spans="1:30" ht="65.25" thickBot="1">
      <c r="A639" s="84"/>
      <c r="B639" s="25" t="s">
        <v>29</v>
      </c>
      <c r="C639" s="84">
        <f aca="true" t="shared" si="110" ref="C639:AD639">SUM(C633:C638)</f>
        <v>20</v>
      </c>
      <c r="D639" s="84">
        <f t="shared" si="110"/>
        <v>40</v>
      </c>
      <c r="E639" s="84">
        <f t="shared" si="110"/>
        <v>1.5</v>
      </c>
      <c r="F639" s="84">
        <f t="shared" si="110"/>
        <v>6.8</v>
      </c>
      <c r="G639" s="84">
        <f t="shared" si="110"/>
        <v>0</v>
      </c>
      <c r="H639" s="84">
        <f t="shared" si="110"/>
        <v>0</v>
      </c>
      <c r="I639" s="84">
        <f t="shared" si="110"/>
        <v>75</v>
      </c>
      <c r="J639" s="84">
        <f t="shared" si="110"/>
        <v>215.5</v>
      </c>
      <c r="K639" s="84">
        <f t="shared" si="110"/>
        <v>0</v>
      </c>
      <c r="L639" s="84">
        <f t="shared" si="110"/>
        <v>0</v>
      </c>
      <c r="M639" s="84">
        <f t="shared" si="110"/>
        <v>0</v>
      </c>
      <c r="N639" s="84">
        <f t="shared" si="110"/>
        <v>0</v>
      </c>
      <c r="O639" s="84">
        <f t="shared" si="110"/>
        <v>9.5</v>
      </c>
      <c r="P639" s="84">
        <f t="shared" si="110"/>
        <v>2</v>
      </c>
      <c r="Q639" s="84">
        <f t="shared" si="110"/>
        <v>6.5</v>
      </c>
      <c r="R639" s="84">
        <f t="shared" si="110"/>
        <v>20</v>
      </c>
      <c r="S639" s="84">
        <f t="shared" si="110"/>
        <v>0</v>
      </c>
      <c r="T639" s="84">
        <f t="shared" si="110"/>
        <v>0</v>
      </c>
      <c r="U639" s="84">
        <f t="shared" si="110"/>
        <v>0</v>
      </c>
      <c r="V639" s="84">
        <f t="shared" si="110"/>
        <v>89</v>
      </c>
      <c r="W639" s="84">
        <f t="shared" si="110"/>
        <v>19</v>
      </c>
      <c r="X639" s="84">
        <f t="shared" si="110"/>
        <v>0</v>
      </c>
      <c r="Y639" s="84">
        <f t="shared" si="110"/>
        <v>0</v>
      </c>
      <c r="Z639" s="84">
        <f t="shared" si="110"/>
        <v>0</v>
      </c>
      <c r="AA639" s="84">
        <f t="shared" si="110"/>
        <v>0</v>
      </c>
      <c r="AB639" s="84">
        <f t="shared" si="110"/>
        <v>0</v>
      </c>
      <c r="AC639" s="88">
        <f t="shared" si="110"/>
        <v>0</v>
      </c>
      <c r="AD639" s="84">
        <f t="shared" si="110"/>
        <v>0</v>
      </c>
    </row>
    <row r="640" spans="1:30" ht="65.25" thickBot="1">
      <c r="A640" s="150" t="s">
        <v>145</v>
      </c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  <c r="AC640" s="151"/>
      <c r="AD640" s="152"/>
    </row>
    <row r="641" spans="1:30" ht="194.25" thickBot="1">
      <c r="A641" s="92">
        <v>21.1</v>
      </c>
      <c r="B641" s="27" t="s">
        <v>172</v>
      </c>
      <c r="C641" s="83"/>
      <c r="D641" s="86"/>
      <c r="E641" s="83"/>
      <c r="F641" s="83"/>
      <c r="G641" s="83"/>
      <c r="H641" s="86"/>
      <c r="I641" s="86"/>
      <c r="J641" s="86"/>
      <c r="K641" s="86"/>
      <c r="L641" s="86"/>
      <c r="M641" s="86"/>
      <c r="N641" s="87"/>
      <c r="O641" s="84"/>
      <c r="P641" s="87"/>
      <c r="Q641" s="84"/>
      <c r="R641" s="87"/>
      <c r="S641" s="84">
        <v>155</v>
      </c>
      <c r="T641" s="87"/>
      <c r="U641" s="84"/>
      <c r="V641" s="84"/>
      <c r="W641" s="87"/>
      <c r="X641" s="84"/>
      <c r="Y641" s="84"/>
      <c r="Z641" s="87"/>
      <c r="AA641" s="84"/>
      <c r="AB641" s="84"/>
      <c r="AC641" s="88"/>
      <c r="AD641" s="83"/>
    </row>
    <row r="642" spans="1:30" ht="65.25" thickBot="1">
      <c r="A642" s="84">
        <v>74</v>
      </c>
      <c r="B642" s="22" t="s">
        <v>221</v>
      </c>
      <c r="C642" s="84"/>
      <c r="D642" s="86"/>
      <c r="E642" s="86">
        <v>12.4</v>
      </c>
      <c r="F642" s="86"/>
      <c r="G642" s="86">
        <v>3</v>
      </c>
      <c r="H642" s="86"/>
      <c r="I642" s="85"/>
      <c r="J642" s="85"/>
      <c r="K642" s="85"/>
      <c r="L642" s="85"/>
      <c r="M642" s="85"/>
      <c r="N642" s="85"/>
      <c r="O642" s="85">
        <v>6.2</v>
      </c>
      <c r="P642" s="85">
        <v>2</v>
      </c>
      <c r="Q642" s="85">
        <v>0.7</v>
      </c>
      <c r="R642" s="85">
        <v>6</v>
      </c>
      <c r="S642" s="85">
        <v>6</v>
      </c>
      <c r="T642" s="85">
        <v>41</v>
      </c>
      <c r="U642" s="85"/>
      <c r="V642" s="85"/>
      <c r="W642" s="85"/>
      <c r="X642" s="85"/>
      <c r="Y642" s="85"/>
      <c r="Z642" s="85"/>
      <c r="AA642" s="85"/>
      <c r="AB642" s="85"/>
      <c r="AC642" s="91"/>
      <c r="AD642" s="84"/>
    </row>
    <row r="643" spans="1:30" ht="65.25" thickBot="1">
      <c r="A643" s="84"/>
      <c r="B643" s="25" t="s">
        <v>29</v>
      </c>
      <c r="C643" s="84">
        <f aca="true" t="shared" si="111" ref="C643:AD643">C641+C642</f>
        <v>0</v>
      </c>
      <c r="D643" s="84">
        <f t="shared" si="111"/>
        <v>0</v>
      </c>
      <c r="E643" s="84">
        <f t="shared" si="111"/>
        <v>12.4</v>
      </c>
      <c r="F643" s="84">
        <f t="shared" si="111"/>
        <v>0</v>
      </c>
      <c r="G643" s="84">
        <f t="shared" si="111"/>
        <v>3</v>
      </c>
      <c r="H643" s="84">
        <f t="shared" si="111"/>
        <v>0</v>
      </c>
      <c r="I643" s="84">
        <f t="shared" si="111"/>
        <v>0</v>
      </c>
      <c r="J643" s="84">
        <f t="shared" si="111"/>
        <v>0</v>
      </c>
      <c r="K643" s="84">
        <f t="shared" si="111"/>
        <v>0</v>
      </c>
      <c r="L643" s="84">
        <f t="shared" si="111"/>
        <v>0</v>
      </c>
      <c r="M643" s="84">
        <f t="shared" si="111"/>
        <v>0</v>
      </c>
      <c r="N643" s="84">
        <f t="shared" si="111"/>
        <v>0</v>
      </c>
      <c r="O643" s="84">
        <f t="shared" si="111"/>
        <v>6.2</v>
      </c>
      <c r="P643" s="84">
        <f t="shared" si="111"/>
        <v>2</v>
      </c>
      <c r="Q643" s="84">
        <f t="shared" si="111"/>
        <v>0.7</v>
      </c>
      <c r="R643" s="84">
        <f t="shared" si="111"/>
        <v>6</v>
      </c>
      <c r="S643" s="84">
        <f t="shared" si="111"/>
        <v>161</v>
      </c>
      <c r="T643" s="84">
        <f t="shared" si="111"/>
        <v>41</v>
      </c>
      <c r="U643" s="84">
        <f t="shared" si="111"/>
        <v>0</v>
      </c>
      <c r="V643" s="84">
        <f t="shared" si="111"/>
        <v>0</v>
      </c>
      <c r="W643" s="84">
        <f t="shared" si="111"/>
        <v>0</v>
      </c>
      <c r="X643" s="84">
        <f t="shared" si="111"/>
        <v>0</v>
      </c>
      <c r="Y643" s="84">
        <f t="shared" si="111"/>
        <v>0</v>
      </c>
      <c r="Z643" s="84">
        <f t="shared" si="111"/>
        <v>0</v>
      </c>
      <c r="AA643" s="84">
        <f t="shared" si="111"/>
        <v>0</v>
      </c>
      <c r="AB643" s="84">
        <f t="shared" si="111"/>
        <v>0</v>
      </c>
      <c r="AC643" s="88">
        <f t="shared" si="111"/>
        <v>0</v>
      </c>
      <c r="AD643" s="84">
        <f t="shared" si="111"/>
        <v>0</v>
      </c>
    </row>
    <row r="644" spans="1:30" ht="65.25" thickBot="1">
      <c r="A644" s="150" t="s">
        <v>144</v>
      </c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  <c r="AC644" s="151"/>
      <c r="AD644" s="152"/>
    </row>
    <row r="645" spans="1:30" ht="216.75" customHeight="1" thickBot="1">
      <c r="A645" s="84">
        <v>87.84</v>
      </c>
      <c r="B645" s="25" t="s">
        <v>273</v>
      </c>
      <c r="C645" s="84"/>
      <c r="D645" s="85"/>
      <c r="E645" s="85"/>
      <c r="F645" s="85"/>
      <c r="G645" s="85">
        <v>15</v>
      </c>
      <c r="H645" s="86"/>
      <c r="I645" s="86"/>
      <c r="J645" s="86"/>
      <c r="K645" s="86"/>
      <c r="L645" s="86"/>
      <c r="M645" s="86"/>
      <c r="N645" s="87"/>
      <c r="O645" s="84">
        <v>4</v>
      </c>
      <c r="P645" s="87">
        <v>2</v>
      </c>
      <c r="Q645" s="84"/>
      <c r="R645" s="87"/>
      <c r="S645" s="84">
        <v>113</v>
      </c>
      <c r="T645" s="87"/>
      <c r="U645" s="84"/>
      <c r="V645" s="84"/>
      <c r="W645" s="84"/>
      <c r="X645" s="87"/>
      <c r="Y645" s="84"/>
      <c r="Z645" s="84"/>
      <c r="AA645" s="84"/>
      <c r="AB645" s="87"/>
      <c r="AC645" s="88"/>
      <c r="AD645" s="84"/>
    </row>
    <row r="646" spans="1:30" ht="216.75" customHeight="1" thickBot="1">
      <c r="A646" s="83" t="s">
        <v>32</v>
      </c>
      <c r="B646" s="22" t="s">
        <v>56</v>
      </c>
      <c r="C646" s="86">
        <v>15</v>
      </c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7"/>
      <c r="U646" s="83"/>
      <c r="V646" s="86"/>
      <c r="W646" s="87"/>
      <c r="X646" s="83"/>
      <c r="Y646" s="86"/>
      <c r="Z646" s="86"/>
      <c r="AA646" s="86"/>
      <c r="AB646" s="86"/>
      <c r="AC646" s="87"/>
      <c r="AD646" s="83"/>
    </row>
    <row r="647" spans="1:30" ht="65.25" thickBot="1">
      <c r="A647" s="83">
        <v>76</v>
      </c>
      <c r="B647" s="23" t="s">
        <v>171</v>
      </c>
      <c r="C647" s="84"/>
      <c r="D647" s="86"/>
      <c r="E647" s="86"/>
      <c r="F647" s="86"/>
      <c r="G647" s="86"/>
      <c r="H647" s="86"/>
      <c r="I647" s="86"/>
      <c r="J647" s="86"/>
      <c r="K647" s="86"/>
      <c r="L647" s="86"/>
      <c r="M647" s="86"/>
      <c r="N647" s="83"/>
      <c r="O647" s="84">
        <v>8</v>
      </c>
      <c r="P647" s="83"/>
      <c r="Q647" s="87"/>
      <c r="R647" s="83"/>
      <c r="S647" s="84">
        <v>72</v>
      </c>
      <c r="T647" s="83"/>
      <c r="U647" s="87"/>
      <c r="V647" s="83"/>
      <c r="W647" s="87"/>
      <c r="X647" s="83"/>
      <c r="Y647" s="87"/>
      <c r="Z647" s="83"/>
      <c r="AA647" s="84">
        <v>0.48</v>
      </c>
      <c r="AB647" s="83"/>
      <c r="AC647" s="90"/>
      <c r="AD647" s="84"/>
    </row>
    <row r="648" spans="1:30" ht="129.75" thickBot="1">
      <c r="A648" s="83">
        <v>69</v>
      </c>
      <c r="B648" s="22" t="s">
        <v>106</v>
      </c>
      <c r="C648" s="84"/>
      <c r="D648" s="86"/>
      <c r="E648" s="86"/>
      <c r="F648" s="86"/>
      <c r="G648" s="86"/>
      <c r="H648" s="86"/>
      <c r="I648" s="86"/>
      <c r="J648" s="86"/>
      <c r="K648" s="86"/>
      <c r="L648" s="86">
        <v>85</v>
      </c>
      <c r="M648" s="8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7"/>
      <c r="AD648" s="84"/>
    </row>
    <row r="649" spans="1:30" ht="65.25" thickBot="1">
      <c r="A649" s="80"/>
      <c r="B649" s="22" t="s">
        <v>6</v>
      </c>
      <c r="C649" s="84">
        <f aca="true" t="shared" si="112" ref="C649:AD649">SUM(C645:C648)</f>
        <v>15</v>
      </c>
      <c r="D649" s="84">
        <f t="shared" si="112"/>
        <v>0</v>
      </c>
      <c r="E649" s="84">
        <f t="shared" si="112"/>
        <v>0</v>
      </c>
      <c r="F649" s="84">
        <f t="shared" si="112"/>
        <v>0</v>
      </c>
      <c r="G649" s="84">
        <f t="shared" si="112"/>
        <v>15</v>
      </c>
      <c r="H649" s="84">
        <f t="shared" si="112"/>
        <v>0</v>
      </c>
      <c r="I649" s="84">
        <f t="shared" si="112"/>
        <v>0</v>
      </c>
      <c r="J649" s="84">
        <f t="shared" si="112"/>
        <v>0</v>
      </c>
      <c r="K649" s="84">
        <f t="shared" si="112"/>
        <v>0</v>
      </c>
      <c r="L649" s="84">
        <f t="shared" si="112"/>
        <v>85</v>
      </c>
      <c r="M649" s="84">
        <f t="shared" si="112"/>
        <v>0</v>
      </c>
      <c r="N649" s="84">
        <f t="shared" si="112"/>
        <v>0</v>
      </c>
      <c r="O649" s="84">
        <f t="shared" si="112"/>
        <v>12</v>
      </c>
      <c r="P649" s="84">
        <f t="shared" si="112"/>
        <v>2</v>
      </c>
      <c r="Q649" s="84">
        <f t="shared" si="112"/>
        <v>0</v>
      </c>
      <c r="R649" s="84">
        <f t="shared" si="112"/>
        <v>0</v>
      </c>
      <c r="S649" s="84">
        <f t="shared" si="112"/>
        <v>185</v>
      </c>
      <c r="T649" s="84">
        <f t="shared" si="112"/>
        <v>0</v>
      </c>
      <c r="U649" s="84">
        <f t="shared" si="112"/>
        <v>0</v>
      </c>
      <c r="V649" s="84">
        <f t="shared" si="112"/>
        <v>0</v>
      </c>
      <c r="W649" s="84">
        <f t="shared" si="112"/>
        <v>0</v>
      </c>
      <c r="X649" s="84">
        <f t="shared" si="112"/>
        <v>0</v>
      </c>
      <c r="Y649" s="84">
        <f t="shared" si="112"/>
        <v>0</v>
      </c>
      <c r="Z649" s="84">
        <f t="shared" si="112"/>
        <v>0</v>
      </c>
      <c r="AA649" s="84">
        <f t="shared" si="112"/>
        <v>0.48</v>
      </c>
      <c r="AB649" s="84">
        <f t="shared" si="112"/>
        <v>0</v>
      </c>
      <c r="AC649" s="88">
        <f t="shared" si="112"/>
        <v>0</v>
      </c>
      <c r="AD649" s="84">
        <f t="shared" si="112"/>
        <v>0</v>
      </c>
    </row>
    <row r="650" spans="1:30" ht="194.25" thickBot="1">
      <c r="A650" s="145"/>
      <c r="B650" s="22" t="s">
        <v>148</v>
      </c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8"/>
      <c r="AD650" s="84"/>
    </row>
    <row r="651" spans="1:30" ht="65.25" thickBot="1">
      <c r="A651" s="83"/>
      <c r="B651" s="93" t="s">
        <v>10</v>
      </c>
      <c r="C651" s="84">
        <f aca="true" t="shared" si="113" ref="C651:AD651">C628+C631+C639+C643+C649</f>
        <v>55</v>
      </c>
      <c r="D651" s="84">
        <f t="shared" si="113"/>
        <v>40</v>
      </c>
      <c r="E651" s="84">
        <f t="shared" si="113"/>
        <v>13.9</v>
      </c>
      <c r="F651" s="84">
        <f t="shared" si="113"/>
        <v>6.8</v>
      </c>
      <c r="G651" s="84">
        <f t="shared" si="113"/>
        <v>37</v>
      </c>
      <c r="H651" s="84">
        <f t="shared" si="113"/>
        <v>0</v>
      </c>
      <c r="I651" s="84">
        <f t="shared" si="113"/>
        <v>75</v>
      </c>
      <c r="J651" s="84">
        <f t="shared" si="113"/>
        <v>215.5</v>
      </c>
      <c r="K651" s="84">
        <f t="shared" si="113"/>
        <v>100</v>
      </c>
      <c r="L651" s="84">
        <f t="shared" si="113"/>
        <v>95</v>
      </c>
      <c r="M651" s="84">
        <f t="shared" si="113"/>
        <v>0</v>
      </c>
      <c r="N651" s="84">
        <f t="shared" si="113"/>
        <v>0</v>
      </c>
      <c r="O651" s="84">
        <f t="shared" si="113"/>
        <v>39.7</v>
      </c>
      <c r="P651" s="84">
        <f t="shared" si="113"/>
        <v>8</v>
      </c>
      <c r="Q651" s="84">
        <f t="shared" si="113"/>
        <v>7.2</v>
      </c>
      <c r="R651" s="84">
        <f t="shared" si="113"/>
        <v>26</v>
      </c>
      <c r="S651" s="84">
        <f t="shared" si="113"/>
        <v>549</v>
      </c>
      <c r="T651" s="84">
        <f t="shared" si="113"/>
        <v>41</v>
      </c>
      <c r="U651" s="84">
        <f t="shared" si="113"/>
        <v>0</v>
      </c>
      <c r="V651" s="84">
        <f t="shared" si="113"/>
        <v>89</v>
      </c>
      <c r="W651" s="84">
        <f t="shared" si="113"/>
        <v>19</v>
      </c>
      <c r="X651" s="84">
        <f t="shared" si="113"/>
        <v>0</v>
      </c>
      <c r="Y651" s="84">
        <f t="shared" si="113"/>
        <v>0</v>
      </c>
      <c r="Z651" s="84">
        <f t="shared" si="113"/>
        <v>0</v>
      </c>
      <c r="AA651" s="84">
        <f t="shared" si="113"/>
        <v>0.48</v>
      </c>
      <c r="AB651" s="84">
        <f t="shared" si="113"/>
        <v>2</v>
      </c>
      <c r="AC651" s="88">
        <f t="shared" si="113"/>
        <v>0</v>
      </c>
      <c r="AD651" s="84">
        <f t="shared" si="113"/>
        <v>0</v>
      </c>
    </row>
    <row r="652" spans="1:30" ht="65.25" thickBot="1">
      <c r="A652" s="150" t="s">
        <v>62</v>
      </c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  <c r="AC652" s="151"/>
      <c r="AD652" s="152"/>
    </row>
    <row r="653" spans="1:30" ht="65.25" thickBot="1">
      <c r="A653" s="150" t="s">
        <v>95</v>
      </c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  <c r="AC653" s="151"/>
      <c r="AD653" s="152"/>
    </row>
    <row r="654" spans="1:30" ht="46.5" customHeight="1">
      <c r="A654" s="166" t="s">
        <v>30</v>
      </c>
      <c r="B654" s="168" t="s">
        <v>23</v>
      </c>
      <c r="C654" s="153" t="s">
        <v>116</v>
      </c>
      <c r="D654" s="153" t="s">
        <v>117</v>
      </c>
      <c r="E654" s="153" t="s">
        <v>118</v>
      </c>
      <c r="F654" s="153" t="s">
        <v>119</v>
      </c>
      <c r="G654" s="153" t="s">
        <v>120</v>
      </c>
      <c r="H654" s="153" t="s">
        <v>121</v>
      </c>
      <c r="I654" s="153" t="s">
        <v>110</v>
      </c>
      <c r="J654" s="153" t="s">
        <v>257</v>
      </c>
      <c r="K654" s="140"/>
      <c r="L654" s="153" t="s">
        <v>142</v>
      </c>
      <c r="M654" s="153" t="s">
        <v>79</v>
      </c>
      <c r="N654" s="153" t="s">
        <v>123</v>
      </c>
      <c r="O654" s="153" t="s">
        <v>80</v>
      </c>
      <c r="P654" s="153" t="s">
        <v>124</v>
      </c>
      <c r="Q654" s="153" t="s">
        <v>81</v>
      </c>
      <c r="R654" s="153" t="s">
        <v>125</v>
      </c>
      <c r="S654" s="153" t="s">
        <v>126</v>
      </c>
      <c r="T654" s="153" t="s">
        <v>127</v>
      </c>
      <c r="U654" s="140"/>
      <c r="V654" s="153" t="s">
        <v>113</v>
      </c>
      <c r="W654" s="153" t="s">
        <v>129</v>
      </c>
      <c r="X654" s="153" t="s">
        <v>84</v>
      </c>
      <c r="Y654" s="153" t="s">
        <v>82</v>
      </c>
      <c r="Z654" s="153" t="s">
        <v>83</v>
      </c>
      <c r="AA654" s="153" t="s">
        <v>85</v>
      </c>
      <c r="AB654" s="140"/>
      <c r="AC654" s="158" t="s">
        <v>78</v>
      </c>
      <c r="AD654" s="153" t="s">
        <v>138</v>
      </c>
    </row>
    <row r="655" spans="1:30" ht="406.5" customHeight="1" thickBot="1">
      <c r="A655" s="167"/>
      <c r="B655" s="169"/>
      <c r="C655" s="154"/>
      <c r="D655" s="154"/>
      <c r="E655" s="154"/>
      <c r="F655" s="154"/>
      <c r="G655" s="154"/>
      <c r="H655" s="154"/>
      <c r="I655" s="154"/>
      <c r="J655" s="154"/>
      <c r="K655" s="141" t="s">
        <v>122</v>
      </c>
      <c r="L655" s="154"/>
      <c r="M655" s="154"/>
      <c r="N655" s="154"/>
      <c r="O655" s="154"/>
      <c r="P655" s="154"/>
      <c r="Q655" s="154"/>
      <c r="R655" s="154"/>
      <c r="S655" s="154"/>
      <c r="T655" s="154"/>
      <c r="U655" s="141" t="s">
        <v>128</v>
      </c>
      <c r="V655" s="154"/>
      <c r="W655" s="154"/>
      <c r="X655" s="154"/>
      <c r="Y655" s="154"/>
      <c r="Z655" s="154"/>
      <c r="AA655" s="154"/>
      <c r="AB655" s="141" t="s">
        <v>77</v>
      </c>
      <c r="AC655" s="159"/>
      <c r="AD655" s="154"/>
    </row>
    <row r="656" spans="1:30" ht="65.25" thickBot="1">
      <c r="A656" s="145">
        <v>1</v>
      </c>
      <c r="B656" s="79">
        <v>2</v>
      </c>
      <c r="C656" s="80" t="s">
        <v>54</v>
      </c>
      <c r="D656" s="81">
        <v>4</v>
      </c>
      <c r="E656" s="80">
        <v>5</v>
      </c>
      <c r="F656" s="80">
        <v>6</v>
      </c>
      <c r="G656" s="80">
        <v>7</v>
      </c>
      <c r="H656" s="80">
        <v>8</v>
      </c>
      <c r="I656" s="80" t="s">
        <v>55</v>
      </c>
      <c r="J656" s="81">
        <v>10</v>
      </c>
      <c r="K656" s="80">
        <v>11</v>
      </c>
      <c r="L656" s="80">
        <v>13</v>
      </c>
      <c r="M656" s="80">
        <v>14</v>
      </c>
      <c r="N656" s="80">
        <v>15</v>
      </c>
      <c r="O656" s="80">
        <v>16</v>
      </c>
      <c r="P656" s="143">
        <v>17</v>
      </c>
      <c r="Q656" s="80">
        <v>18</v>
      </c>
      <c r="R656" s="143">
        <v>19</v>
      </c>
      <c r="S656" s="80">
        <v>20</v>
      </c>
      <c r="T656" s="143">
        <v>21</v>
      </c>
      <c r="U656" s="143">
        <v>22</v>
      </c>
      <c r="V656" s="80">
        <v>23</v>
      </c>
      <c r="W656" s="80">
        <v>24</v>
      </c>
      <c r="X656" s="143">
        <v>25</v>
      </c>
      <c r="Y656" s="80">
        <v>26</v>
      </c>
      <c r="Z656" s="80">
        <v>27</v>
      </c>
      <c r="AA656" s="80">
        <v>28</v>
      </c>
      <c r="AB656" s="143">
        <v>29</v>
      </c>
      <c r="AC656" s="142">
        <v>30</v>
      </c>
      <c r="AD656" s="80">
        <v>32</v>
      </c>
    </row>
    <row r="657" spans="1:30" ht="65.25" thickBot="1">
      <c r="A657" s="150" t="s">
        <v>5</v>
      </c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  <c r="AC657" s="151"/>
      <c r="AD657" s="152"/>
    </row>
    <row r="658" spans="1:30" ht="129.75" thickBot="1">
      <c r="A658" s="84">
        <v>23</v>
      </c>
      <c r="B658" s="25" t="s">
        <v>162</v>
      </c>
      <c r="C658" s="84"/>
      <c r="D658" s="85"/>
      <c r="E658" s="85"/>
      <c r="F658" s="85"/>
      <c r="G658" s="85">
        <v>19</v>
      </c>
      <c r="H658" s="86"/>
      <c r="I658" s="86"/>
      <c r="J658" s="86"/>
      <c r="K658" s="86"/>
      <c r="L658" s="86"/>
      <c r="M658" s="86"/>
      <c r="N658" s="87"/>
      <c r="O658" s="84">
        <v>4</v>
      </c>
      <c r="P658" s="87">
        <v>2</v>
      </c>
      <c r="Q658" s="84"/>
      <c r="R658" s="87"/>
      <c r="S658" s="84">
        <v>113</v>
      </c>
      <c r="T658" s="87"/>
      <c r="U658" s="84"/>
      <c r="V658" s="84"/>
      <c r="W658" s="84"/>
      <c r="X658" s="87"/>
      <c r="Y658" s="84"/>
      <c r="Z658" s="84"/>
      <c r="AA658" s="84"/>
      <c r="AB658" s="87"/>
      <c r="AC658" s="88"/>
      <c r="AD658" s="84"/>
    </row>
    <row r="659" spans="1:30" ht="65.25" thickBot="1">
      <c r="A659" s="84">
        <v>15</v>
      </c>
      <c r="B659" s="23" t="s">
        <v>224</v>
      </c>
      <c r="C659" s="84"/>
      <c r="D659" s="85"/>
      <c r="E659" s="85"/>
      <c r="F659" s="85"/>
      <c r="G659" s="85"/>
      <c r="H659" s="86"/>
      <c r="I659" s="86"/>
      <c r="J659" s="86"/>
      <c r="K659" s="86"/>
      <c r="L659" s="86"/>
      <c r="M659" s="86"/>
      <c r="N659" s="87"/>
      <c r="O659" s="84">
        <v>8</v>
      </c>
      <c r="P659" s="87"/>
      <c r="Q659" s="84"/>
      <c r="R659" s="87"/>
      <c r="S659" s="84">
        <v>90</v>
      </c>
      <c r="T659" s="84"/>
      <c r="U659" s="87"/>
      <c r="V659" s="84"/>
      <c r="W659" s="87"/>
      <c r="X659" s="84"/>
      <c r="Y659" s="84"/>
      <c r="Z659" s="87"/>
      <c r="AA659" s="84"/>
      <c r="AB659" s="84"/>
      <c r="AC659" s="90">
        <v>1.1</v>
      </c>
      <c r="AD659" s="83"/>
    </row>
    <row r="660" spans="1:30" ht="65.25" thickBot="1">
      <c r="A660" s="83">
        <v>16</v>
      </c>
      <c r="B660" s="22" t="s">
        <v>36</v>
      </c>
      <c r="C660" s="86">
        <v>20</v>
      </c>
      <c r="D660" s="85"/>
      <c r="E660" s="85"/>
      <c r="F660" s="85"/>
      <c r="G660" s="85"/>
      <c r="H660" s="86"/>
      <c r="I660" s="86"/>
      <c r="J660" s="86"/>
      <c r="K660" s="86"/>
      <c r="L660" s="86"/>
      <c r="M660" s="86"/>
      <c r="N660" s="87"/>
      <c r="O660" s="84"/>
      <c r="P660" s="84">
        <v>5</v>
      </c>
      <c r="Q660" s="84"/>
      <c r="R660" s="87"/>
      <c r="S660" s="84"/>
      <c r="T660" s="87"/>
      <c r="U660" s="83"/>
      <c r="V660" s="84"/>
      <c r="W660" s="83"/>
      <c r="X660" s="87"/>
      <c r="Y660" s="84"/>
      <c r="Z660" s="84"/>
      <c r="AA660" s="87"/>
      <c r="AB660" s="83"/>
      <c r="AC660" s="88"/>
      <c r="AD660" s="84"/>
    </row>
    <row r="661" spans="1:30" ht="65.25" thickBot="1">
      <c r="A661" s="83"/>
      <c r="B661" s="22" t="s">
        <v>6</v>
      </c>
      <c r="C661" s="84">
        <f aca="true" t="shared" si="114" ref="C661:AD661">SUM(C658:C660)</f>
        <v>20</v>
      </c>
      <c r="D661" s="84">
        <f t="shared" si="114"/>
        <v>0</v>
      </c>
      <c r="E661" s="84">
        <f t="shared" si="114"/>
        <v>0</v>
      </c>
      <c r="F661" s="84">
        <f t="shared" si="114"/>
        <v>0</v>
      </c>
      <c r="G661" s="84">
        <f t="shared" si="114"/>
        <v>19</v>
      </c>
      <c r="H661" s="84">
        <f t="shared" si="114"/>
        <v>0</v>
      </c>
      <c r="I661" s="84">
        <f t="shared" si="114"/>
        <v>0</v>
      </c>
      <c r="J661" s="84">
        <f t="shared" si="114"/>
        <v>0</v>
      </c>
      <c r="K661" s="84">
        <f t="shared" si="114"/>
        <v>0</v>
      </c>
      <c r="L661" s="84">
        <f t="shared" si="114"/>
        <v>0</v>
      </c>
      <c r="M661" s="84">
        <f t="shared" si="114"/>
        <v>0</v>
      </c>
      <c r="N661" s="84">
        <f t="shared" si="114"/>
        <v>0</v>
      </c>
      <c r="O661" s="84">
        <f t="shared" si="114"/>
        <v>12</v>
      </c>
      <c r="P661" s="84">
        <f t="shared" si="114"/>
        <v>7</v>
      </c>
      <c r="Q661" s="84">
        <f t="shared" si="114"/>
        <v>0</v>
      </c>
      <c r="R661" s="84">
        <f t="shared" si="114"/>
        <v>0</v>
      </c>
      <c r="S661" s="84">
        <f t="shared" si="114"/>
        <v>203</v>
      </c>
      <c r="T661" s="84">
        <f t="shared" si="114"/>
        <v>0</v>
      </c>
      <c r="U661" s="84">
        <f t="shared" si="114"/>
        <v>0</v>
      </c>
      <c r="V661" s="84">
        <f t="shared" si="114"/>
        <v>0</v>
      </c>
      <c r="W661" s="84">
        <f t="shared" si="114"/>
        <v>0</v>
      </c>
      <c r="X661" s="84">
        <f t="shared" si="114"/>
        <v>0</v>
      </c>
      <c r="Y661" s="84">
        <f t="shared" si="114"/>
        <v>0</v>
      </c>
      <c r="Z661" s="84">
        <f t="shared" si="114"/>
        <v>0</v>
      </c>
      <c r="AA661" s="84">
        <f t="shared" si="114"/>
        <v>0</v>
      </c>
      <c r="AB661" s="84">
        <f t="shared" si="114"/>
        <v>0</v>
      </c>
      <c r="AC661" s="88">
        <f t="shared" si="114"/>
        <v>1.1</v>
      </c>
      <c r="AD661" s="84">
        <f t="shared" si="114"/>
        <v>0</v>
      </c>
    </row>
    <row r="662" spans="1:30" ht="65.25" thickBot="1">
      <c r="A662" s="155" t="s">
        <v>53</v>
      </c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  <c r="AA662" s="156"/>
      <c r="AB662" s="156"/>
      <c r="AC662" s="156"/>
      <c r="AD662" s="157"/>
    </row>
    <row r="663" spans="1:30" ht="65.25" thickBot="1">
      <c r="A663" s="83" t="s">
        <v>32</v>
      </c>
      <c r="B663" s="25" t="s">
        <v>182</v>
      </c>
      <c r="C663" s="84"/>
      <c r="D663" s="86"/>
      <c r="E663" s="86"/>
      <c r="F663" s="86"/>
      <c r="G663" s="86"/>
      <c r="H663" s="86"/>
      <c r="I663" s="86"/>
      <c r="J663" s="86"/>
      <c r="K663" s="86">
        <v>100</v>
      </c>
      <c r="L663" s="86"/>
      <c r="M663" s="86"/>
      <c r="N663" s="87"/>
      <c r="O663" s="84"/>
      <c r="P663" s="87"/>
      <c r="Q663" s="84"/>
      <c r="R663" s="87"/>
      <c r="S663" s="84"/>
      <c r="T663" s="87"/>
      <c r="U663" s="84"/>
      <c r="V663" s="84"/>
      <c r="W663" s="87"/>
      <c r="X663" s="84"/>
      <c r="Y663" s="84"/>
      <c r="Z663" s="87"/>
      <c r="AA663" s="84"/>
      <c r="AB663" s="87"/>
      <c r="AC663" s="88"/>
      <c r="AD663" s="83"/>
    </row>
    <row r="664" spans="1:30" ht="65.25" thickBot="1">
      <c r="A664" s="83"/>
      <c r="B664" s="22" t="s">
        <v>29</v>
      </c>
      <c r="C664" s="86">
        <f>SUM(C663)</f>
        <v>0</v>
      </c>
      <c r="D664" s="86">
        <f>SUM(D663)</f>
        <v>0</v>
      </c>
      <c r="E664" s="86">
        <f aca="true" t="shared" si="115" ref="E664:AC664">SUM(E663)</f>
        <v>0</v>
      </c>
      <c r="F664" s="86">
        <f t="shared" si="115"/>
        <v>0</v>
      </c>
      <c r="G664" s="86">
        <f t="shared" si="115"/>
        <v>0</v>
      </c>
      <c r="H664" s="86">
        <f t="shared" si="115"/>
        <v>0</v>
      </c>
      <c r="I664" s="86">
        <f t="shared" si="115"/>
        <v>0</v>
      </c>
      <c r="J664" s="86">
        <f t="shared" si="115"/>
        <v>0</v>
      </c>
      <c r="K664" s="86">
        <f t="shared" si="115"/>
        <v>100</v>
      </c>
      <c r="L664" s="86">
        <f t="shared" si="115"/>
        <v>0</v>
      </c>
      <c r="M664" s="86">
        <f t="shared" si="115"/>
        <v>0</v>
      </c>
      <c r="N664" s="86">
        <f t="shared" si="115"/>
        <v>0</v>
      </c>
      <c r="O664" s="86">
        <f t="shared" si="115"/>
        <v>0</v>
      </c>
      <c r="P664" s="86">
        <f t="shared" si="115"/>
        <v>0</v>
      </c>
      <c r="Q664" s="86">
        <f t="shared" si="115"/>
        <v>0</v>
      </c>
      <c r="R664" s="86">
        <f t="shared" si="115"/>
        <v>0</v>
      </c>
      <c r="S664" s="86">
        <f t="shared" si="115"/>
        <v>0</v>
      </c>
      <c r="T664" s="86">
        <f t="shared" si="115"/>
        <v>0</v>
      </c>
      <c r="U664" s="86">
        <f t="shared" si="115"/>
        <v>0</v>
      </c>
      <c r="V664" s="86">
        <f t="shared" si="115"/>
        <v>0</v>
      </c>
      <c r="W664" s="86">
        <f t="shared" si="115"/>
        <v>0</v>
      </c>
      <c r="X664" s="86">
        <f t="shared" si="115"/>
        <v>0</v>
      </c>
      <c r="Y664" s="86">
        <f t="shared" si="115"/>
        <v>0</v>
      </c>
      <c r="Z664" s="86">
        <f t="shared" si="115"/>
        <v>0</v>
      </c>
      <c r="AA664" s="86">
        <f t="shared" si="115"/>
        <v>0</v>
      </c>
      <c r="AB664" s="86">
        <f t="shared" si="115"/>
        <v>0</v>
      </c>
      <c r="AC664" s="87">
        <f t="shared" si="115"/>
        <v>0</v>
      </c>
      <c r="AD664" s="83">
        <f>SUM(AD663)</f>
        <v>0</v>
      </c>
    </row>
    <row r="665" spans="1:30" ht="65.25" thickBot="1">
      <c r="A665" s="150" t="s">
        <v>8</v>
      </c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  <c r="AC665" s="151"/>
      <c r="AD665" s="152"/>
    </row>
    <row r="666" spans="1:30" ht="65.25" thickBot="1">
      <c r="A666" s="84">
        <v>56</v>
      </c>
      <c r="B666" s="22" t="s">
        <v>228</v>
      </c>
      <c r="C666" s="84"/>
      <c r="D666" s="86"/>
      <c r="E666" s="86"/>
      <c r="F666" s="86"/>
      <c r="G666" s="86"/>
      <c r="H666" s="86"/>
      <c r="I666" s="86"/>
      <c r="J666" s="86">
        <v>28.8</v>
      </c>
      <c r="K666" s="86"/>
      <c r="L666" s="86"/>
      <c r="M666" s="86"/>
      <c r="N666" s="87"/>
      <c r="O666" s="83"/>
      <c r="P666" s="87"/>
      <c r="Q666" s="83">
        <v>3</v>
      </c>
      <c r="R666" s="87"/>
      <c r="S666" s="83"/>
      <c r="T666" s="87"/>
      <c r="U666" s="84"/>
      <c r="V666" s="83"/>
      <c r="W666" s="87"/>
      <c r="X666" s="84"/>
      <c r="Y666" s="83"/>
      <c r="Z666" s="87"/>
      <c r="AA666" s="83"/>
      <c r="AB666" s="84"/>
      <c r="AC666" s="88"/>
      <c r="AD666" s="83"/>
    </row>
    <row r="667" spans="1:30" ht="194.25" thickBot="1">
      <c r="A667" s="83">
        <v>77</v>
      </c>
      <c r="B667" s="22" t="s">
        <v>169</v>
      </c>
      <c r="C667" s="84"/>
      <c r="D667" s="86"/>
      <c r="E667" s="86"/>
      <c r="F667" s="86"/>
      <c r="G667" s="86">
        <v>6</v>
      </c>
      <c r="H667" s="86"/>
      <c r="I667" s="86">
        <v>15</v>
      </c>
      <c r="J667" s="86">
        <v>33.2</v>
      </c>
      <c r="K667" s="86"/>
      <c r="L667" s="86"/>
      <c r="M667" s="86"/>
      <c r="N667" s="83"/>
      <c r="O667" s="87"/>
      <c r="P667" s="83">
        <v>2</v>
      </c>
      <c r="Q667" s="87"/>
      <c r="R667" s="83"/>
      <c r="S667" s="87"/>
      <c r="T667" s="83"/>
      <c r="U667" s="87"/>
      <c r="V667" s="83">
        <v>10</v>
      </c>
      <c r="W667" s="87"/>
      <c r="X667" s="83"/>
      <c r="Y667" s="84">
        <v>7</v>
      </c>
      <c r="Z667" s="83"/>
      <c r="AA667" s="83"/>
      <c r="AB667" s="87"/>
      <c r="AC667" s="90"/>
      <c r="AD667" s="83"/>
    </row>
    <row r="668" spans="1:30" ht="129.75" thickBot="1">
      <c r="A668" s="83">
        <v>6</v>
      </c>
      <c r="B668" s="22" t="s">
        <v>74</v>
      </c>
      <c r="C668" s="84">
        <v>12</v>
      </c>
      <c r="D668" s="86"/>
      <c r="E668" s="86"/>
      <c r="F668" s="86"/>
      <c r="G668" s="86"/>
      <c r="H668" s="86"/>
      <c r="I668" s="86"/>
      <c r="J668" s="86">
        <v>5</v>
      </c>
      <c r="K668" s="86"/>
      <c r="L668" s="86"/>
      <c r="M668" s="86"/>
      <c r="N668" s="83"/>
      <c r="O668" s="87"/>
      <c r="P668" s="83"/>
      <c r="Q668" s="87">
        <v>4</v>
      </c>
      <c r="R668" s="83">
        <v>4</v>
      </c>
      <c r="S668" s="87">
        <v>12</v>
      </c>
      <c r="T668" s="90"/>
      <c r="U668" s="88"/>
      <c r="V668" s="84">
        <v>41</v>
      </c>
      <c r="W668" s="87"/>
      <c r="X668" s="84"/>
      <c r="Y668" s="87"/>
      <c r="Z668" s="83"/>
      <c r="AA668" s="83"/>
      <c r="AB668" s="87"/>
      <c r="AC668" s="90"/>
      <c r="AD668" s="83"/>
    </row>
    <row r="669" spans="1:30" ht="65.25" thickBot="1">
      <c r="A669" s="83">
        <v>90</v>
      </c>
      <c r="B669" s="22" t="s">
        <v>73</v>
      </c>
      <c r="C669" s="84"/>
      <c r="D669" s="86"/>
      <c r="E669" s="86"/>
      <c r="F669" s="86"/>
      <c r="G669" s="86"/>
      <c r="H669" s="86"/>
      <c r="I669" s="86">
        <v>50</v>
      </c>
      <c r="J669" s="86">
        <v>44</v>
      </c>
      <c r="K669" s="86"/>
      <c r="L669" s="86"/>
      <c r="M669" s="86"/>
      <c r="N669" s="83"/>
      <c r="O669" s="87"/>
      <c r="P669" s="83"/>
      <c r="Q669" s="87">
        <v>3</v>
      </c>
      <c r="R669" s="83"/>
      <c r="S669" s="87"/>
      <c r="T669" s="90"/>
      <c r="U669" s="83"/>
      <c r="V669" s="83"/>
      <c r="W669" s="87"/>
      <c r="X669" s="83"/>
      <c r="Y669" s="87"/>
      <c r="Z669" s="83"/>
      <c r="AA669" s="83"/>
      <c r="AB669" s="87"/>
      <c r="AC669" s="90"/>
      <c r="AD669" s="83"/>
    </row>
    <row r="670" spans="1:30" ht="129.75" thickBot="1">
      <c r="A670" s="84">
        <v>54</v>
      </c>
      <c r="B670" s="23" t="s">
        <v>154</v>
      </c>
      <c r="C670" s="84"/>
      <c r="D670" s="85"/>
      <c r="E670" s="85"/>
      <c r="F670" s="85"/>
      <c r="G670" s="85"/>
      <c r="H670" s="86"/>
      <c r="I670" s="86"/>
      <c r="J670" s="86"/>
      <c r="K670" s="86"/>
      <c r="L670" s="86">
        <v>30</v>
      </c>
      <c r="M670" s="86"/>
      <c r="N670" s="87"/>
      <c r="O670" s="84">
        <v>10</v>
      </c>
      <c r="P670" s="87"/>
      <c r="Q670" s="84"/>
      <c r="R670" s="87"/>
      <c r="S670" s="84"/>
      <c r="T670" s="84"/>
      <c r="U670" s="87"/>
      <c r="V670" s="84"/>
      <c r="W670" s="87"/>
      <c r="X670" s="84"/>
      <c r="Y670" s="84"/>
      <c r="Z670" s="87"/>
      <c r="AA670" s="84"/>
      <c r="AB670" s="84"/>
      <c r="AC670" s="90"/>
      <c r="AD670" s="83"/>
    </row>
    <row r="671" spans="1:30" ht="129.75" thickBot="1">
      <c r="A671" s="83" t="s">
        <v>32</v>
      </c>
      <c r="B671" s="22" t="s">
        <v>56</v>
      </c>
      <c r="C671" s="84">
        <v>20</v>
      </c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7"/>
      <c r="U671" s="83"/>
      <c r="V671" s="86"/>
      <c r="W671" s="87"/>
      <c r="X671" s="83"/>
      <c r="Y671" s="86"/>
      <c r="Z671" s="86"/>
      <c r="AA671" s="86"/>
      <c r="AB671" s="86"/>
      <c r="AC671" s="87"/>
      <c r="AD671" s="83"/>
    </row>
    <row r="672" spans="1:30" ht="129.75" thickBot="1">
      <c r="A672" s="83" t="s">
        <v>32</v>
      </c>
      <c r="B672" s="22" t="s">
        <v>58</v>
      </c>
      <c r="C672" s="84"/>
      <c r="D672" s="86">
        <v>40</v>
      </c>
      <c r="E672" s="86"/>
      <c r="F672" s="86"/>
      <c r="G672" s="86"/>
      <c r="H672" s="86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91"/>
      <c r="AD672" s="83"/>
    </row>
    <row r="673" spans="1:30" ht="65.25" thickBot="1">
      <c r="A673" s="84"/>
      <c r="B673" s="25" t="s">
        <v>29</v>
      </c>
      <c r="C673" s="84">
        <f aca="true" t="shared" si="116" ref="C673:AD673">SUM(C666:C672)</f>
        <v>32</v>
      </c>
      <c r="D673" s="84">
        <f t="shared" si="116"/>
        <v>40</v>
      </c>
      <c r="E673" s="84">
        <f t="shared" si="116"/>
        <v>0</v>
      </c>
      <c r="F673" s="84">
        <f t="shared" si="116"/>
        <v>0</v>
      </c>
      <c r="G673" s="84">
        <f t="shared" si="116"/>
        <v>6</v>
      </c>
      <c r="H673" s="84">
        <f t="shared" si="116"/>
        <v>0</v>
      </c>
      <c r="I673" s="84">
        <f t="shared" si="116"/>
        <v>65</v>
      </c>
      <c r="J673" s="84">
        <f t="shared" si="116"/>
        <v>111</v>
      </c>
      <c r="K673" s="84">
        <f t="shared" si="116"/>
        <v>0</v>
      </c>
      <c r="L673" s="84">
        <f t="shared" si="116"/>
        <v>30</v>
      </c>
      <c r="M673" s="84">
        <f t="shared" si="116"/>
        <v>0</v>
      </c>
      <c r="N673" s="84">
        <f t="shared" si="116"/>
        <v>0</v>
      </c>
      <c r="O673" s="84">
        <f t="shared" si="116"/>
        <v>10</v>
      </c>
      <c r="P673" s="84">
        <f t="shared" si="116"/>
        <v>2</v>
      </c>
      <c r="Q673" s="84">
        <f t="shared" si="116"/>
        <v>10</v>
      </c>
      <c r="R673" s="84">
        <f t="shared" si="116"/>
        <v>4</v>
      </c>
      <c r="S673" s="84">
        <f t="shared" si="116"/>
        <v>12</v>
      </c>
      <c r="T673" s="84">
        <f t="shared" si="116"/>
        <v>0</v>
      </c>
      <c r="U673" s="84">
        <f t="shared" si="116"/>
        <v>0</v>
      </c>
      <c r="V673" s="84">
        <f t="shared" si="116"/>
        <v>51</v>
      </c>
      <c r="W673" s="84">
        <f t="shared" si="116"/>
        <v>0</v>
      </c>
      <c r="X673" s="84">
        <f t="shared" si="116"/>
        <v>0</v>
      </c>
      <c r="Y673" s="84">
        <f t="shared" si="116"/>
        <v>7</v>
      </c>
      <c r="Z673" s="84">
        <f t="shared" si="116"/>
        <v>0</v>
      </c>
      <c r="AA673" s="84">
        <f t="shared" si="116"/>
        <v>0</v>
      </c>
      <c r="AB673" s="84">
        <f t="shared" si="116"/>
        <v>0</v>
      </c>
      <c r="AC673" s="88">
        <f t="shared" si="116"/>
        <v>0</v>
      </c>
      <c r="AD673" s="84">
        <f t="shared" si="116"/>
        <v>0</v>
      </c>
    </row>
    <row r="674" spans="1:30" ht="65.25" thickBot="1">
      <c r="A674" s="150" t="s">
        <v>145</v>
      </c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  <c r="AC674" s="151"/>
      <c r="AD674" s="152"/>
    </row>
    <row r="675" spans="1:30" ht="194.25" thickBot="1">
      <c r="A675" s="92">
        <v>21.1</v>
      </c>
      <c r="B675" s="27" t="s">
        <v>172</v>
      </c>
      <c r="C675" s="83"/>
      <c r="D675" s="86"/>
      <c r="E675" s="83"/>
      <c r="F675" s="83"/>
      <c r="G675" s="83"/>
      <c r="H675" s="86"/>
      <c r="I675" s="86"/>
      <c r="J675" s="86"/>
      <c r="K675" s="86"/>
      <c r="L675" s="86"/>
      <c r="M675" s="86"/>
      <c r="N675" s="87"/>
      <c r="O675" s="84"/>
      <c r="P675" s="87"/>
      <c r="Q675" s="84"/>
      <c r="R675" s="87"/>
      <c r="S675" s="84">
        <v>155</v>
      </c>
      <c r="T675" s="87"/>
      <c r="U675" s="84"/>
      <c r="V675" s="84"/>
      <c r="W675" s="87"/>
      <c r="X675" s="84"/>
      <c r="Y675" s="84"/>
      <c r="Z675" s="87"/>
      <c r="AA675" s="84"/>
      <c r="AB675" s="84"/>
      <c r="AC675" s="88"/>
      <c r="AD675" s="83"/>
    </row>
    <row r="676" spans="1:30" ht="65.25" thickBot="1">
      <c r="A676" s="83">
        <v>22</v>
      </c>
      <c r="B676" s="22" t="s">
        <v>222</v>
      </c>
      <c r="C676" s="86"/>
      <c r="D676" s="86"/>
      <c r="E676" s="86">
        <v>37.7</v>
      </c>
      <c r="F676" s="86"/>
      <c r="G676" s="86"/>
      <c r="H676" s="86"/>
      <c r="I676" s="86"/>
      <c r="J676" s="86"/>
      <c r="K676" s="86"/>
      <c r="L676" s="86"/>
      <c r="M676" s="86"/>
      <c r="N676" s="83"/>
      <c r="O676" s="87">
        <v>3.6</v>
      </c>
      <c r="P676" s="84">
        <v>2.5</v>
      </c>
      <c r="Q676" s="87">
        <v>0.9</v>
      </c>
      <c r="R676" s="83">
        <v>2.4</v>
      </c>
      <c r="S676" s="87">
        <v>21</v>
      </c>
      <c r="T676" s="90"/>
      <c r="U676" s="83"/>
      <c r="V676" s="84"/>
      <c r="W676" s="87"/>
      <c r="X676" s="83"/>
      <c r="Y676" s="87">
        <v>12</v>
      </c>
      <c r="Z676" s="83"/>
      <c r="AA676" s="87"/>
      <c r="AB676" s="83"/>
      <c r="AC676" s="87"/>
      <c r="AD676" s="84">
        <v>1</v>
      </c>
    </row>
    <row r="677" spans="1:30" ht="65.25" thickBot="1">
      <c r="A677" s="84"/>
      <c r="B677" s="25" t="s">
        <v>29</v>
      </c>
      <c r="C677" s="84">
        <f aca="true" t="shared" si="117" ref="C677:AD677">C675+C676</f>
        <v>0</v>
      </c>
      <c r="D677" s="84">
        <f t="shared" si="117"/>
        <v>0</v>
      </c>
      <c r="E677" s="84">
        <f t="shared" si="117"/>
        <v>37.7</v>
      </c>
      <c r="F677" s="84">
        <f t="shared" si="117"/>
        <v>0</v>
      </c>
      <c r="G677" s="84">
        <f t="shared" si="117"/>
        <v>0</v>
      </c>
      <c r="H677" s="84">
        <f t="shared" si="117"/>
        <v>0</v>
      </c>
      <c r="I677" s="84">
        <f t="shared" si="117"/>
        <v>0</v>
      </c>
      <c r="J677" s="84">
        <f t="shared" si="117"/>
        <v>0</v>
      </c>
      <c r="K677" s="84">
        <f t="shared" si="117"/>
        <v>0</v>
      </c>
      <c r="L677" s="84">
        <f t="shared" si="117"/>
        <v>0</v>
      </c>
      <c r="M677" s="84">
        <f t="shared" si="117"/>
        <v>0</v>
      </c>
      <c r="N677" s="84">
        <f t="shared" si="117"/>
        <v>0</v>
      </c>
      <c r="O677" s="84">
        <f t="shared" si="117"/>
        <v>3.6</v>
      </c>
      <c r="P677" s="84">
        <f t="shared" si="117"/>
        <v>2.5</v>
      </c>
      <c r="Q677" s="84">
        <f t="shared" si="117"/>
        <v>0.9</v>
      </c>
      <c r="R677" s="84">
        <f t="shared" si="117"/>
        <v>2.4</v>
      </c>
      <c r="S677" s="84">
        <f t="shared" si="117"/>
        <v>176</v>
      </c>
      <c r="T677" s="84">
        <f t="shared" si="117"/>
        <v>0</v>
      </c>
      <c r="U677" s="84">
        <f t="shared" si="117"/>
        <v>0</v>
      </c>
      <c r="V677" s="84">
        <f t="shared" si="117"/>
        <v>0</v>
      </c>
      <c r="W677" s="84">
        <f t="shared" si="117"/>
        <v>0</v>
      </c>
      <c r="X677" s="84">
        <f t="shared" si="117"/>
        <v>0</v>
      </c>
      <c r="Y677" s="84">
        <f t="shared" si="117"/>
        <v>12</v>
      </c>
      <c r="Z677" s="84">
        <f t="shared" si="117"/>
        <v>0</v>
      </c>
      <c r="AA677" s="84">
        <f t="shared" si="117"/>
        <v>0</v>
      </c>
      <c r="AB677" s="84">
        <f t="shared" si="117"/>
        <v>0</v>
      </c>
      <c r="AC677" s="88">
        <f t="shared" si="117"/>
        <v>0</v>
      </c>
      <c r="AD677" s="84">
        <f t="shared" si="117"/>
        <v>1</v>
      </c>
    </row>
    <row r="678" spans="1:30" ht="65.25" thickBot="1">
      <c r="A678" s="150" t="s">
        <v>144</v>
      </c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  <c r="AC678" s="151"/>
      <c r="AD678" s="152"/>
    </row>
    <row r="679" spans="1:30" ht="194.25" thickBot="1">
      <c r="A679" s="84">
        <v>94</v>
      </c>
      <c r="B679" s="22" t="s">
        <v>223</v>
      </c>
      <c r="C679" s="95"/>
      <c r="D679" s="96"/>
      <c r="E679" s="96"/>
      <c r="F679" s="96"/>
      <c r="G679" s="96">
        <v>11</v>
      </c>
      <c r="H679" s="96"/>
      <c r="I679" s="106"/>
      <c r="J679" s="106"/>
      <c r="K679" s="106"/>
      <c r="L679" s="106">
        <v>14</v>
      </c>
      <c r="M679" s="106"/>
      <c r="N679" s="106"/>
      <c r="O679" s="106">
        <v>11</v>
      </c>
      <c r="P679" s="106">
        <v>4</v>
      </c>
      <c r="Q679" s="106"/>
      <c r="R679" s="106">
        <v>14</v>
      </c>
      <c r="S679" s="106">
        <v>25</v>
      </c>
      <c r="T679" s="106">
        <v>114</v>
      </c>
      <c r="U679" s="106"/>
      <c r="V679" s="106"/>
      <c r="W679" s="106"/>
      <c r="X679" s="106"/>
      <c r="Y679" s="106"/>
      <c r="Z679" s="106"/>
      <c r="AA679" s="106"/>
      <c r="AB679" s="106"/>
      <c r="AC679" s="107"/>
      <c r="AD679" s="95"/>
    </row>
    <row r="680" spans="1:30" ht="65.25" thickBot="1">
      <c r="A680" s="84">
        <v>13</v>
      </c>
      <c r="B680" s="23" t="s">
        <v>7</v>
      </c>
      <c r="C680" s="84"/>
      <c r="D680" s="85"/>
      <c r="E680" s="85"/>
      <c r="F680" s="85"/>
      <c r="G680" s="85"/>
      <c r="H680" s="86"/>
      <c r="I680" s="86"/>
      <c r="J680" s="86"/>
      <c r="K680" s="86"/>
      <c r="L680" s="86"/>
      <c r="M680" s="86"/>
      <c r="N680" s="87"/>
      <c r="O680" s="84">
        <v>10</v>
      </c>
      <c r="P680" s="87"/>
      <c r="Q680" s="84"/>
      <c r="R680" s="87"/>
      <c r="S680" s="84"/>
      <c r="T680" s="84"/>
      <c r="U680" s="87"/>
      <c r="V680" s="84"/>
      <c r="W680" s="87"/>
      <c r="X680" s="84"/>
      <c r="Y680" s="84"/>
      <c r="Z680" s="87"/>
      <c r="AA680" s="84">
        <v>0.48</v>
      </c>
      <c r="AB680" s="84"/>
      <c r="AC680" s="90"/>
      <c r="AD680" s="83"/>
    </row>
    <row r="681" spans="1:30" ht="129.75" thickBot="1">
      <c r="A681" s="83">
        <v>69</v>
      </c>
      <c r="B681" s="22" t="s">
        <v>106</v>
      </c>
      <c r="C681" s="84"/>
      <c r="D681" s="86"/>
      <c r="E681" s="86"/>
      <c r="F681" s="86"/>
      <c r="G681" s="86"/>
      <c r="H681" s="86"/>
      <c r="I681" s="86"/>
      <c r="J681" s="86"/>
      <c r="K681" s="86"/>
      <c r="L681" s="86">
        <v>85</v>
      </c>
      <c r="M681" s="8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7"/>
      <c r="AD681" s="84"/>
    </row>
    <row r="682" spans="1:30" ht="65.25" thickBot="1">
      <c r="A682" s="80"/>
      <c r="B682" s="22" t="s">
        <v>6</v>
      </c>
      <c r="C682" s="84">
        <f aca="true" t="shared" si="118" ref="C682:AD682">SUM(C679:C681)</f>
        <v>0</v>
      </c>
      <c r="D682" s="84">
        <f t="shared" si="118"/>
        <v>0</v>
      </c>
      <c r="E682" s="84">
        <f t="shared" si="118"/>
        <v>0</v>
      </c>
      <c r="F682" s="84">
        <f t="shared" si="118"/>
        <v>0</v>
      </c>
      <c r="G682" s="84">
        <f t="shared" si="118"/>
        <v>11</v>
      </c>
      <c r="H682" s="84">
        <f t="shared" si="118"/>
        <v>0</v>
      </c>
      <c r="I682" s="84">
        <f t="shared" si="118"/>
        <v>0</v>
      </c>
      <c r="J682" s="84">
        <f t="shared" si="118"/>
        <v>0</v>
      </c>
      <c r="K682" s="84">
        <f t="shared" si="118"/>
        <v>0</v>
      </c>
      <c r="L682" s="84">
        <f t="shared" si="118"/>
        <v>99</v>
      </c>
      <c r="M682" s="84">
        <f t="shared" si="118"/>
        <v>0</v>
      </c>
      <c r="N682" s="84">
        <f t="shared" si="118"/>
        <v>0</v>
      </c>
      <c r="O682" s="84">
        <f t="shared" si="118"/>
        <v>21</v>
      </c>
      <c r="P682" s="84">
        <f t="shared" si="118"/>
        <v>4</v>
      </c>
      <c r="Q682" s="84">
        <f t="shared" si="118"/>
        <v>0</v>
      </c>
      <c r="R682" s="84">
        <f t="shared" si="118"/>
        <v>14</v>
      </c>
      <c r="S682" s="84">
        <f t="shared" si="118"/>
        <v>25</v>
      </c>
      <c r="T682" s="84">
        <f t="shared" si="118"/>
        <v>114</v>
      </c>
      <c r="U682" s="84">
        <f t="shared" si="118"/>
        <v>0</v>
      </c>
      <c r="V682" s="84">
        <f t="shared" si="118"/>
        <v>0</v>
      </c>
      <c r="W682" s="84">
        <f t="shared" si="118"/>
        <v>0</v>
      </c>
      <c r="X682" s="84">
        <f t="shared" si="118"/>
        <v>0</v>
      </c>
      <c r="Y682" s="84">
        <f t="shared" si="118"/>
        <v>0</v>
      </c>
      <c r="Z682" s="84">
        <f t="shared" si="118"/>
        <v>0</v>
      </c>
      <c r="AA682" s="84">
        <f t="shared" si="118"/>
        <v>0.48</v>
      </c>
      <c r="AB682" s="84">
        <f t="shared" si="118"/>
        <v>0</v>
      </c>
      <c r="AC682" s="88">
        <f t="shared" si="118"/>
        <v>0</v>
      </c>
      <c r="AD682" s="84">
        <f t="shared" si="118"/>
        <v>0</v>
      </c>
    </row>
    <row r="683" spans="1:30" ht="194.25" thickBot="1">
      <c r="A683" s="145"/>
      <c r="B683" s="22" t="s">
        <v>148</v>
      </c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8"/>
      <c r="AD683" s="84"/>
    </row>
    <row r="684" spans="1:30" ht="65.25" thickBot="1">
      <c r="A684" s="83"/>
      <c r="B684" s="93" t="s">
        <v>10</v>
      </c>
      <c r="C684" s="84">
        <f aca="true" t="shared" si="119" ref="C684:AD684">C661+C664+C673+C677+C682</f>
        <v>52</v>
      </c>
      <c r="D684" s="84">
        <f t="shared" si="119"/>
        <v>40</v>
      </c>
      <c r="E684" s="84">
        <f t="shared" si="119"/>
        <v>37.7</v>
      </c>
      <c r="F684" s="84">
        <f t="shared" si="119"/>
        <v>0</v>
      </c>
      <c r="G684" s="84">
        <f t="shared" si="119"/>
        <v>36</v>
      </c>
      <c r="H684" s="84">
        <f t="shared" si="119"/>
        <v>0</v>
      </c>
      <c r="I684" s="84">
        <f t="shared" si="119"/>
        <v>65</v>
      </c>
      <c r="J684" s="84">
        <f t="shared" si="119"/>
        <v>111</v>
      </c>
      <c r="K684" s="84">
        <f t="shared" si="119"/>
        <v>100</v>
      </c>
      <c r="L684" s="84">
        <f t="shared" si="119"/>
        <v>129</v>
      </c>
      <c r="M684" s="84">
        <f t="shared" si="119"/>
        <v>0</v>
      </c>
      <c r="N684" s="84">
        <f t="shared" si="119"/>
        <v>0</v>
      </c>
      <c r="O684" s="84">
        <f t="shared" si="119"/>
        <v>46.6</v>
      </c>
      <c r="P684" s="84">
        <f t="shared" si="119"/>
        <v>15.5</v>
      </c>
      <c r="Q684" s="84">
        <f t="shared" si="119"/>
        <v>10.9</v>
      </c>
      <c r="R684" s="84">
        <f t="shared" si="119"/>
        <v>20.4</v>
      </c>
      <c r="S684" s="84">
        <f t="shared" si="119"/>
        <v>416</v>
      </c>
      <c r="T684" s="84">
        <f t="shared" si="119"/>
        <v>114</v>
      </c>
      <c r="U684" s="84">
        <f t="shared" si="119"/>
        <v>0</v>
      </c>
      <c r="V684" s="84">
        <f t="shared" si="119"/>
        <v>51</v>
      </c>
      <c r="W684" s="84">
        <f t="shared" si="119"/>
        <v>0</v>
      </c>
      <c r="X684" s="84">
        <f t="shared" si="119"/>
        <v>0</v>
      </c>
      <c r="Y684" s="84">
        <f t="shared" si="119"/>
        <v>19</v>
      </c>
      <c r="Z684" s="84">
        <f t="shared" si="119"/>
        <v>0</v>
      </c>
      <c r="AA684" s="84">
        <f t="shared" si="119"/>
        <v>0.48</v>
      </c>
      <c r="AB684" s="84">
        <f t="shared" si="119"/>
        <v>0</v>
      </c>
      <c r="AC684" s="88">
        <f t="shared" si="119"/>
        <v>1.1</v>
      </c>
      <c r="AD684" s="84">
        <f t="shared" si="119"/>
        <v>1</v>
      </c>
    </row>
    <row r="685" spans="1:30" ht="46.5" customHeight="1">
      <c r="A685" s="160"/>
      <c r="B685" s="161"/>
      <c r="C685" s="153" t="s">
        <v>116</v>
      </c>
      <c r="D685" s="153" t="s">
        <v>117</v>
      </c>
      <c r="E685" s="153" t="s">
        <v>118</v>
      </c>
      <c r="F685" s="153" t="s">
        <v>119</v>
      </c>
      <c r="G685" s="153" t="s">
        <v>120</v>
      </c>
      <c r="H685" s="153" t="s">
        <v>121</v>
      </c>
      <c r="I685" s="153" t="s">
        <v>110</v>
      </c>
      <c r="J685" s="153" t="s">
        <v>257</v>
      </c>
      <c r="K685" s="140"/>
      <c r="L685" s="153" t="s">
        <v>142</v>
      </c>
      <c r="M685" s="153" t="s">
        <v>79</v>
      </c>
      <c r="N685" s="153" t="s">
        <v>123</v>
      </c>
      <c r="O685" s="153" t="s">
        <v>80</v>
      </c>
      <c r="P685" s="153" t="s">
        <v>124</v>
      </c>
      <c r="Q685" s="153" t="s">
        <v>81</v>
      </c>
      <c r="R685" s="153" t="s">
        <v>125</v>
      </c>
      <c r="S685" s="153" t="s">
        <v>126</v>
      </c>
      <c r="T685" s="153" t="s">
        <v>127</v>
      </c>
      <c r="U685" s="140"/>
      <c r="V685" s="153" t="s">
        <v>113</v>
      </c>
      <c r="W685" s="153" t="s">
        <v>129</v>
      </c>
      <c r="X685" s="153" t="s">
        <v>84</v>
      </c>
      <c r="Y685" s="153" t="s">
        <v>82</v>
      </c>
      <c r="Z685" s="153" t="s">
        <v>83</v>
      </c>
      <c r="AA685" s="153" t="s">
        <v>85</v>
      </c>
      <c r="AB685" s="140"/>
      <c r="AC685" s="158" t="s">
        <v>78</v>
      </c>
      <c r="AD685" s="153" t="s">
        <v>138</v>
      </c>
    </row>
    <row r="686" spans="1:30" ht="409.5" customHeight="1" thickBot="1">
      <c r="A686" s="162"/>
      <c r="B686" s="163"/>
      <c r="C686" s="154"/>
      <c r="D686" s="154"/>
      <c r="E686" s="154"/>
      <c r="F686" s="154"/>
      <c r="G686" s="154"/>
      <c r="H686" s="154"/>
      <c r="I686" s="154"/>
      <c r="J686" s="154"/>
      <c r="K686" s="141" t="s">
        <v>122</v>
      </c>
      <c r="L686" s="154"/>
      <c r="M686" s="154"/>
      <c r="N686" s="154"/>
      <c r="O686" s="154"/>
      <c r="P686" s="154"/>
      <c r="Q686" s="154"/>
      <c r="R686" s="154"/>
      <c r="S686" s="154"/>
      <c r="T686" s="154"/>
      <c r="U686" s="141" t="s">
        <v>128</v>
      </c>
      <c r="V686" s="154"/>
      <c r="W686" s="154"/>
      <c r="X686" s="154"/>
      <c r="Y686" s="154"/>
      <c r="Z686" s="154"/>
      <c r="AA686" s="154"/>
      <c r="AB686" s="141" t="s">
        <v>77</v>
      </c>
      <c r="AC686" s="159"/>
      <c r="AD686" s="154"/>
    </row>
    <row r="687" spans="1:30" ht="75.75" customHeight="1" thickBot="1">
      <c r="A687" s="155">
        <v>1</v>
      </c>
      <c r="B687" s="157"/>
      <c r="C687" s="80" t="s">
        <v>45</v>
      </c>
      <c r="D687" s="81">
        <v>3</v>
      </c>
      <c r="E687" s="80">
        <v>4</v>
      </c>
      <c r="F687" s="80">
        <v>5</v>
      </c>
      <c r="G687" s="80">
        <v>6</v>
      </c>
      <c r="H687" s="80">
        <v>7</v>
      </c>
      <c r="I687" s="80" t="s">
        <v>44</v>
      </c>
      <c r="J687" s="80">
        <v>9</v>
      </c>
      <c r="K687" s="108">
        <v>10</v>
      </c>
      <c r="L687" s="80">
        <v>11</v>
      </c>
      <c r="M687" s="80">
        <v>12</v>
      </c>
      <c r="N687" s="80">
        <v>13</v>
      </c>
      <c r="O687" s="80">
        <v>14</v>
      </c>
      <c r="P687" s="80">
        <v>15</v>
      </c>
      <c r="Q687" s="143">
        <v>16</v>
      </c>
      <c r="R687" s="80">
        <v>17</v>
      </c>
      <c r="S687" s="143">
        <v>18</v>
      </c>
      <c r="T687" s="80">
        <v>19</v>
      </c>
      <c r="U687" s="143">
        <v>20</v>
      </c>
      <c r="V687" s="80">
        <v>21</v>
      </c>
      <c r="W687" s="80">
        <v>22</v>
      </c>
      <c r="X687" s="80">
        <v>23</v>
      </c>
      <c r="Y687" s="143">
        <v>24</v>
      </c>
      <c r="Z687" s="80">
        <v>25</v>
      </c>
      <c r="AA687" s="143">
        <v>26</v>
      </c>
      <c r="AB687" s="80">
        <v>27</v>
      </c>
      <c r="AC687" s="142">
        <v>28</v>
      </c>
      <c r="AD687" s="80">
        <v>30</v>
      </c>
    </row>
    <row r="688" spans="1:30" ht="65.25" thickBot="1">
      <c r="A688" s="164" t="s">
        <v>98</v>
      </c>
      <c r="B688" s="165"/>
      <c r="C688" s="84">
        <f aca="true" t="shared" si="120" ref="C688:AD688">C37+C72+C108+C142+C174+C209+C243+C276+C309+C343+C377+C412+C444+C479+C512+C547+C582+C618+C651+C684</f>
        <v>1220</v>
      </c>
      <c r="D688" s="84">
        <f t="shared" si="120"/>
        <v>800</v>
      </c>
      <c r="E688" s="84">
        <f t="shared" si="120"/>
        <v>521.6999999999999</v>
      </c>
      <c r="F688" s="84">
        <f t="shared" si="120"/>
        <v>40.8</v>
      </c>
      <c r="G688" s="84">
        <f t="shared" si="120"/>
        <v>628</v>
      </c>
      <c r="H688" s="84">
        <f t="shared" si="120"/>
        <v>166</v>
      </c>
      <c r="I688" s="84">
        <f t="shared" si="120"/>
        <v>2303</v>
      </c>
      <c r="J688" s="84">
        <f t="shared" si="120"/>
        <v>3391.4</v>
      </c>
      <c r="K688" s="84">
        <f t="shared" si="120"/>
        <v>2000</v>
      </c>
      <c r="L688" s="84">
        <f t="shared" si="120"/>
        <v>1905.2</v>
      </c>
      <c r="M688" s="84">
        <f t="shared" si="120"/>
        <v>172</v>
      </c>
      <c r="N688" s="84">
        <f t="shared" si="120"/>
        <v>135</v>
      </c>
      <c r="O688" s="84">
        <f t="shared" si="120"/>
        <v>778.6000000000001</v>
      </c>
      <c r="P688" s="84">
        <f t="shared" si="120"/>
        <v>340.9</v>
      </c>
      <c r="Q688" s="84">
        <f t="shared" si="120"/>
        <v>172.8</v>
      </c>
      <c r="R688" s="84">
        <f t="shared" si="120"/>
        <v>417.69999999999993</v>
      </c>
      <c r="S688" s="84">
        <f t="shared" si="120"/>
        <v>7973</v>
      </c>
      <c r="T688" s="84">
        <f t="shared" si="120"/>
        <v>572</v>
      </c>
      <c r="U688" s="84">
        <f t="shared" si="120"/>
        <v>0</v>
      </c>
      <c r="V688" s="84">
        <f t="shared" si="120"/>
        <v>1035</v>
      </c>
      <c r="W688" s="84">
        <f t="shared" si="120"/>
        <v>386</v>
      </c>
      <c r="X688" s="84">
        <f t="shared" si="120"/>
        <v>665</v>
      </c>
      <c r="Y688" s="84">
        <f t="shared" si="120"/>
        <v>178.8</v>
      </c>
      <c r="Z688" s="84">
        <f t="shared" si="120"/>
        <v>90</v>
      </c>
      <c r="AA688" s="84">
        <f t="shared" si="120"/>
        <v>10.080000000000005</v>
      </c>
      <c r="AB688" s="84">
        <f t="shared" si="120"/>
        <v>20</v>
      </c>
      <c r="AC688" s="88">
        <f t="shared" si="120"/>
        <v>9.899999999999999</v>
      </c>
      <c r="AD688" s="84">
        <f t="shared" si="120"/>
        <v>8</v>
      </c>
    </row>
    <row r="689" spans="1:30" ht="101.25" customHeight="1" thickBot="1">
      <c r="A689" s="164" t="s">
        <v>99</v>
      </c>
      <c r="B689" s="165"/>
      <c r="C689" s="109">
        <f>C688/20</f>
        <v>61</v>
      </c>
      <c r="D689" s="109">
        <f aca="true" t="shared" si="121" ref="D689:AD689">D688/20</f>
        <v>40</v>
      </c>
      <c r="E689" s="109">
        <f t="shared" si="121"/>
        <v>26.084999999999997</v>
      </c>
      <c r="F689" s="109">
        <f t="shared" si="121"/>
        <v>2.04</v>
      </c>
      <c r="G689" s="109">
        <f t="shared" si="121"/>
        <v>31.4</v>
      </c>
      <c r="H689" s="109">
        <f t="shared" si="121"/>
        <v>8.3</v>
      </c>
      <c r="I689" s="109">
        <f t="shared" si="121"/>
        <v>115.15</v>
      </c>
      <c r="J689" s="109">
        <f t="shared" si="121"/>
        <v>169.57</v>
      </c>
      <c r="K689" s="109">
        <f t="shared" si="121"/>
        <v>100</v>
      </c>
      <c r="L689" s="109">
        <f t="shared" si="121"/>
        <v>95.26</v>
      </c>
      <c r="M689" s="109">
        <f t="shared" si="121"/>
        <v>8.6</v>
      </c>
      <c r="N689" s="109">
        <f t="shared" si="121"/>
        <v>6.75</v>
      </c>
      <c r="O689" s="109">
        <f t="shared" si="121"/>
        <v>38.93000000000001</v>
      </c>
      <c r="P689" s="109">
        <f t="shared" si="121"/>
        <v>17.044999999999998</v>
      </c>
      <c r="Q689" s="109">
        <f t="shared" si="121"/>
        <v>8.64</v>
      </c>
      <c r="R689" s="109">
        <f t="shared" si="121"/>
        <v>20.884999999999998</v>
      </c>
      <c r="S689" s="109">
        <f t="shared" si="121"/>
        <v>398.65</v>
      </c>
      <c r="T689" s="109">
        <f t="shared" si="121"/>
        <v>28.6</v>
      </c>
      <c r="U689" s="109">
        <f t="shared" si="121"/>
        <v>0</v>
      </c>
      <c r="V689" s="109">
        <f t="shared" si="121"/>
        <v>51.75</v>
      </c>
      <c r="W689" s="109">
        <f t="shared" si="121"/>
        <v>19.3</v>
      </c>
      <c r="X689" s="109">
        <f t="shared" si="121"/>
        <v>33.25</v>
      </c>
      <c r="Y689" s="109">
        <f t="shared" si="121"/>
        <v>8.940000000000001</v>
      </c>
      <c r="Z689" s="109">
        <f t="shared" si="121"/>
        <v>4.5</v>
      </c>
      <c r="AA689" s="109">
        <f t="shared" si="121"/>
        <v>0.5040000000000002</v>
      </c>
      <c r="AB689" s="109">
        <f t="shared" si="121"/>
        <v>1</v>
      </c>
      <c r="AC689" s="109">
        <f t="shared" si="121"/>
        <v>0.49499999999999994</v>
      </c>
      <c r="AD689" s="109">
        <f t="shared" si="121"/>
        <v>0.4</v>
      </c>
    </row>
    <row r="690" spans="1:30" ht="214.5" customHeight="1" thickBot="1">
      <c r="A690" s="164" t="s">
        <v>47</v>
      </c>
      <c r="B690" s="165"/>
      <c r="C690" s="110">
        <v>60</v>
      </c>
      <c r="D690" s="111">
        <v>40</v>
      </c>
      <c r="E690" s="111">
        <v>25</v>
      </c>
      <c r="F690" s="111">
        <v>2</v>
      </c>
      <c r="G690" s="111">
        <v>30</v>
      </c>
      <c r="H690" s="112">
        <v>8</v>
      </c>
      <c r="I690" s="112">
        <v>120</v>
      </c>
      <c r="J690" s="112">
        <v>174</v>
      </c>
      <c r="K690" s="112">
        <v>100</v>
      </c>
      <c r="L690" s="112">
        <v>95</v>
      </c>
      <c r="M690" s="112">
        <v>9</v>
      </c>
      <c r="N690" s="112">
        <v>7</v>
      </c>
      <c r="O690" s="112">
        <v>37</v>
      </c>
      <c r="P690" s="112">
        <v>18</v>
      </c>
      <c r="Q690" s="112">
        <v>9</v>
      </c>
      <c r="R690" s="112">
        <v>20</v>
      </c>
      <c r="S690" s="112">
        <v>390</v>
      </c>
      <c r="T690" s="112">
        <v>30</v>
      </c>
      <c r="U690" s="112">
        <v>0</v>
      </c>
      <c r="V690" s="112">
        <v>50</v>
      </c>
      <c r="W690" s="112">
        <v>20</v>
      </c>
      <c r="X690" s="112">
        <v>32</v>
      </c>
      <c r="Y690" s="112">
        <v>9</v>
      </c>
      <c r="Z690" s="112">
        <v>4.3</v>
      </c>
      <c r="AA690" s="112">
        <v>0.5</v>
      </c>
      <c r="AB690" s="112">
        <v>1</v>
      </c>
      <c r="AC690" s="113">
        <v>0.5</v>
      </c>
      <c r="AD690" s="110">
        <v>0.4</v>
      </c>
    </row>
    <row r="691" spans="1:30" ht="185.25" customHeight="1" thickBot="1">
      <c r="A691" s="164" t="s">
        <v>63</v>
      </c>
      <c r="B691" s="165"/>
      <c r="C691" s="109">
        <f aca="true" t="shared" si="122" ref="C691:T691">C689*100/C690</f>
        <v>101.66666666666667</v>
      </c>
      <c r="D691" s="109">
        <f t="shared" si="122"/>
        <v>100</v>
      </c>
      <c r="E691" s="109">
        <f t="shared" si="122"/>
        <v>104.33999999999997</v>
      </c>
      <c r="F691" s="109">
        <f t="shared" si="122"/>
        <v>102</v>
      </c>
      <c r="G691" s="109">
        <f t="shared" si="122"/>
        <v>104.66666666666667</v>
      </c>
      <c r="H691" s="109">
        <f t="shared" si="122"/>
        <v>103.75000000000001</v>
      </c>
      <c r="I691" s="109">
        <f t="shared" si="122"/>
        <v>95.95833333333333</v>
      </c>
      <c r="J691" s="109">
        <f t="shared" si="122"/>
        <v>97.45402298850574</v>
      </c>
      <c r="K691" s="109">
        <f t="shared" si="122"/>
        <v>100</v>
      </c>
      <c r="L691" s="109">
        <f t="shared" si="122"/>
        <v>100.27368421052631</v>
      </c>
      <c r="M691" s="109">
        <f t="shared" si="122"/>
        <v>95.55555555555556</v>
      </c>
      <c r="N691" s="109">
        <f t="shared" si="122"/>
        <v>96.42857142857143</v>
      </c>
      <c r="O691" s="109">
        <f t="shared" si="122"/>
        <v>105.21621621621624</v>
      </c>
      <c r="P691" s="109">
        <f t="shared" si="122"/>
        <v>94.69444444444443</v>
      </c>
      <c r="Q691" s="109">
        <f t="shared" si="122"/>
        <v>96</v>
      </c>
      <c r="R691" s="109">
        <f t="shared" si="122"/>
        <v>104.425</v>
      </c>
      <c r="S691" s="109">
        <f t="shared" si="122"/>
        <v>102.21794871794872</v>
      </c>
      <c r="T691" s="109">
        <f t="shared" si="122"/>
        <v>95.33333333333333</v>
      </c>
      <c r="U691" s="109">
        <v>0</v>
      </c>
      <c r="V691" s="109">
        <f aca="true" t="shared" si="123" ref="V691:AD691">V689*100/V690</f>
        <v>103.5</v>
      </c>
      <c r="W691" s="109">
        <f t="shared" si="123"/>
        <v>96.5</v>
      </c>
      <c r="X691" s="109">
        <f t="shared" si="123"/>
        <v>103.90625</v>
      </c>
      <c r="Y691" s="109">
        <f t="shared" si="123"/>
        <v>99.33333333333334</v>
      </c>
      <c r="Z691" s="109">
        <f t="shared" si="123"/>
        <v>104.65116279069768</v>
      </c>
      <c r="AA691" s="109">
        <f t="shared" si="123"/>
        <v>100.80000000000004</v>
      </c>
      <c r="AB691" s="109">
        <f t="shared" si="123"/>
        <v>100</v>
      </c>
      <c r="AC691" s="114">
        <f>AC689*100/AC690</f>
        <v>98.99999999999999</v>
      </c>
      <c r="AD691" s="109">
        <f t="shared" si="123"/>
        <v>100</v>
      </c>
    </row>
    <row r="692" spans="1:30" ht="190.5" customHeight="1" thickBot="1">
      <c r="A692" s="164" t="s">
        <v>97</v>
      </c>
      <c r="B692" s="165"/>
      <c r="C692" s="115">
        <f>C691-100</f>
        <v>1.6666666666666714</v>
      </c>
      <c r="D692" s="115">
        <f aca="true" t="shared" si="124" ref="D692:AD692">D691-100</f>
        <v>0</v>
      </c>
      <c r="E692" s="115">
        <f t="shared" si="124"/>
        <v>4.339999999999975</v>
      </c>
      <c r="F692" s="115">
        <f t="shared" si="124"/>
        <v>2</v>
      </c>
      <c r="G692" s="115">
        <f t="shared" si="124"/>
        <v>4.666666666666671</v>
      </c>
      <c r="H692" s="115">
        <f t="shared" si="124"/>
        <v>3.750000000000014</v>
      </c>
      <c r="I692" s="115">
        <f t="shared" si="124"/>
        <v>-4.041666666666671</v>
      </c>
      <c r="J692" s="115">
        <f t="shared" si="124"/>
        <v>-2.5459770114942586</v>
      </c>
      <c r="K692" s="115">
        <f t="shared" si="124"/>
        <v>0</v>
      </c>
      <c r="L692" s="115">
        <f t="shared" si="124"/>
        <v>0.2736842105263122</v>
      </c>
      <c r="M692" s="115">
        <f t="shared" si="124"/>
        <v>-4.444444444444443</v>
      </c>
      <c r="N692" s="115">
        <f t="shared" si="124"/>
        <v>-3.5714285714285694</v>
      </c>
      <c r="O692" s="115">
        <f t="shared" si="124"/>
        <v>5.216216216216239</v>
      </c>
      <c r="P692" s="115">
        <f t="shared" si="124"/>
        <v>-5.305555555555571</v>
      </c>
      <c r="Q692" s="115">
        <f t="shared" si="124"/>
        <v>-4</v>
      </c>
      <c r="R692" s="115">
        <f t="shared" si="124"/>
        <v>4.424999999999997</v>
      </c>
      <c r="S692" s="115">
        <f t="shared" si="124"/>
        <v>2.2179487179487154</v>
      </c>
      <c r="T692" s="115">
        <f t="shared" si="124"/>
        <v>-4.666666666666671</v>
      </c>
      <c r="U692" s="115">
        <f t="shared" si="124"/>
        <v>-100</v>
      </c>
      <c r="V692" s="115">
        <f t="shared" si="124"/>
        <v>3.5</v>
      </c>
      <c r="W692" s="115">
        <f t="shared" si="124"/>
        <v>-3.5</v>
      </c>
      <c r="X692" s="115">
        <f t="shared" si="124"/>
        <v>3.90625</v>
      </c>
      <c r="Y692" s="115">
        <f t="shared" si="124"/>
        <v>-0.6666666666666572</v>
      </c>
      <c r="Z692" s="115">
        <f t="shared" si="124"/>
        <v>4.651162790697683</v>
      </c>
      <c r="AA692" s="115">
        <f t="shared" si="124"/>
        <v>0.8000000000000398</v>
      </c>
      <c r="AB692" s="115">
        <f t="shared" si="124"/>
        <v>0</v>
      </c>
      <c r="AC692" s="116">
        <f t="shared" si="124"/>
        <v>-1.0000000000000142</v>
      </c>
      <c r="AD692" s="115">
        <f t="shared" si="124"/>
        <v>0</v>
      </c>
    </row>
    <row r="694" ht="64.5">
      <c r="B694" s="13" t="s">
        <v>255</v>
      </c>
    </row>
    <row r="701" spans="1:30" ht="46.5" customHeight="1">
      <c r="A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17"/>
    </row>
  </sheetData>
  <sheetProtection/>
  <mergeCells count="713">
    <mergeCell ref="A391:AD391"/>
    <mergeCell ref="A405:AD405"/>
    <mergeCell ref="W380:W381"/>
    <mergeCell ref="S380:S381"/>
    <mergeCell ref="Y380:Y381"/>
    <mergeCell ref="V380:V381"/>
    <mergeCell ref="AD380:AD381"/>
    <mergeCell ref="A383:AD383"/>
    <mergeCell ref="A388:AD388"/>
    <mergeCell ref="H380:H381"/>
    <mergeCell ref="I380:I381"/>
    <mergeCell ref="J380:J381"/>
    <mergeCell ref="L380:L381"/>
    <mergeCell ref="M380:M381"/>
    <mergeCell ref="X380:X381"/>
    <mergeCell ref="N380:N381"/>
    <mergeCell ref="O380:O381"/>
    <mergeCell ref="P380:P381"/>
    <mergeCell ref="Q380:Q381"/>
    <mergeCell ref="Y550:Y551"/>
    <mergeCell ref="A378:AD378"/>
    <mergeCell ref="A379:AD379"/>
    <mergeCell ref="A380:A381"/>
    <mergeCell ref="B380:B381"/>
    <mergeCell ref="C380:C381"/>
    <mergeCell ref="D380:D381"/>
    <mergeCell ref="E380:E381"/>
    <mergeCell ref="F380:F381"/>
    <mergeCell ref="T380:T381"/>
    <mergeCell ref="R550:R551"/>
    <mergeCell ref="S550:S551"/>
    <mergeCell ref="T550:T551"/>
    <mergeCell ref="V550:V551"/>
    <mergeCell ref="W550:W551"/>
    <mergeCell ref="X550:X551"/>
    <mergeCell ref="L550:L551"/>
    <mergeCell ref="M550:M551"/>
    <mergeCell ref="N550:N551"/>
    <mergeCell ref="O550:O551"/>
    <mergeCell ref="P550:P551"/>
    <mergeCell ref="Q550:Q551"/>
    <mergeCell ref="A527:AD527"/>
    <mergeCell ref="A540:AD540"/>
    <mergeCell ref="A548:AD548"/>
    <mergeCell ref="A549:AD549"/>
    <mergeCell ref="A550:A551"/>
    <mergeCell ref="B550:B551"/>
    <mergeCell ref="C550:C551"/>
    <mergeCell ref="D550:D551"/>
    <mergeCell ref="E550:E551"/>
    <mergeCell ref="J550:J551"/>
    <mergeCell ref="A518:AD518"/>
    <mergeCell ref="A524:AD524"/>
    <mergeCell ref="T515:T516"/>
    <mergeCell ref="V515:V516"/>
    <mergeCell ref="W515:W516"/>
    <mergeCell ref="X515:X516"/>
    <mergeCell ref="R515:R516"/>
    <mergeCell ref="S515:S516"/>
    <mergeCell ref="Z515:Z516"/>
    <mergeCell ref="F515:F516"/>
    <mergeCell ref="AD5:AD6"/>
    <mergeCell ref="N40:N41"/>
    <mergeCell ref="O40:O41"/>
    <mergeCell ref="AA515:AA516"/>
    <mergeCell ref="AC515:AC516"/>
    <mergeCell ref="AD515:AD516"/>
    <mergeCell ref="Z380:Z381"/>
    <mergeCell ref="AA380:AA381"/>
    <mergeCell ref="AC380:AC381"/>
    <mergeCell ref="R380:R381"/>
    <mergeCell ref="B5:B6"/>
    <mergeCell ref="E5:E6"/>
    <mergeCell ref="O5:O6"/>
    <mergeCell ref="H5:H6"/>
    <mergeCell ref="F5:F6"/>
    <mergeCell ref="Y515:Y516"/>
    <mergeCell ref="P5:P6"/>
    <mergeCell ref="Q5:Q6"/>
    <mergeCell ref="V5:V6"/>
    <mergeCell ref="G380:G381"/>
    <mergeCell ref="R5:R6"/>
    <mergeCell ref="S5:S6"/>
    <mergeCell ref="A38:AD38"/>
    <mergeCell ref="G5:G6"/>
    <mergeCell ref="A17:AD17"/>
    <mergeCell ref="A14:AD14"/>
    <mergeCell ref="Y5:Y6"/>
    <mergeCell ref="T5:T6"/>
    <mergeCell ref="W5:W6"/>
    <mergeCell ref="A5:A6"/>
    <mergeCell ref="A39:AD39"/>
    <mergeCell ref="A40:A41"/>
    <mergeCell ref="A8:AD8"/>
    <mergeCell ref="D5:D6"/>
    <mergeCell ref="N5:N6"/>
    <mergeCell ref="I5:I6"/>
    <mergeCell ref="J5:J6"/>
    <mergeCell ref="D40:D41"/>
    <mergeCell ref="E40:E41"/>
    <mergeCell ref="Z40:Z41"/>
    <mergeCell ref="A3:AD3"/>
    <mergeCell ref="A4:AD4"/>
    <mergeCell ref="Z5:Z6"/>
    <mergeCell ref="AA5:AA6"/>
    <mergeCell ref="AC5:AC6"/>
    <mergeCell ref="A30:AD30"/>
    <mergeCell ref="C5:C6"/>
    <mergeCell ref="X5:X6"/>
    <mergeCell ref="L5:L6"/>
    <mergeCell ref="M5:M6"/>
    <mergeCell ref="H40:H41"/>
    <mergeCell ref="R40:R41"/>
    <mergeCell ref="S40:S41"/>
    <mergeCell ref="T40:T41"/>
    <mergeCell ref="V40:V41"/>
    <mergeCell ref="I40:I41"/>
    <mergeCell ref="AD40:AD41"/>
    <mergeCell ref="F40:F41"/>
    <mergeCell ref="G40:G41"/>
    <mergeCell ref="J40:J41"/>
    <mergeCell ref="A51:AD51"/>
    <mergeCell ref="L40:L41"/>
    <mergeCell ref="Q40:Q41"/>
    <mergeCell ref="M40:M41"/>
    <mergeCell ref="AC40:AC41"/>
    <mergeCell ref="W40:W41"/>
    <mergeCell ref="A73:AD73"/>
    <mergeCell ref="P40:P41"/>
    <mergeCell ref="AA40:AA41"/>
    <mergeCell ref="B40:B41"/>
    <mergeCell ref="C40:C41"/>
    <mergeCell ref="A64:AD64"/>
    <mergeCell ref="X40:X41"/>
    <mergeCell ref="Y40:Y41"/>
    <mergeCell ref="A43:AD43"/>
    <mergeCell ref="A48:AD48"/>
    <mergeCell ref="A74:AD74"/>
    <mergeCell ref="A75:A76"/>
    <mergeCell ref="B75:B76"/>
    <mergeCell ref="C75:C76"/>
    <mergeCell ref="D75:D76"/>
    <mergeCell ref="E75:E76"/>
    <mergeCell ref="F75:F76"/>
    <mergeCell ref="G75:G76"/>
    <mergeCell ref="N75:N76"/>
    <mergeCell ref="O75:O76"/>
    <mergeCell ref="P75:P76"/>
    <mergeCell ref="Q75:Q76"/>
    <mergeCell ref="A86:AD86"/>
    <mergeCell ref="AD75:AD76"/>
    <mergeCell ref="A78:AD78"/>
    <mergeCell ref="A83:AD83"/>
    <mergeCell ref="T75:T76"/>
    <mergeCell ref="A100:AD100"/>
    <mergeCell ref="W75:W76"/>
    <mergeCell ref="X75:X76"/>
    <mergeCell ref="R75:R76"/>
    <mergeCell ref="S75:S76"/>
    <mergeCell ref="Y75:Y76"/>
    <mergeCell ref="Z75:Z76"/>
    <mergeCell ref="AA75:AA76"/>
    <mergeCell ref="AC75:AC76"/>
    <mergeCell ref="H75:H76"/>
    <mergeCell ref="D111:D112"/>
    <mergeCell ref="E111:E112"/>
    <mergeCell ref="F111:F112"/>
    <mergeCell ref="G111:G112"/>
    <mergeCell ref="J111:J112"/>
    <mergeCell ref="V75:V76"/>
    <mergeCell ref="I75:I76"/>
    <mergeCell ref="J75:J76"/>
    <mergeCell ref="L75:L76"/>
    <mergeCell ref="M75:M76"/>
    <mergeCell ref="AD111:AD112"/>
    <mergeCell ref="A114:AD114"/>
    <mergeCell ref="M111:M112"/>
    <mergeCell ref="N111:N112"/>
    <mergeCell ref="A119:AD119"/>
    <mergeCell ref="A109:AD109"/>
    <mergeCell ref="A110:AD110"/>
    <mergeCell ref="A111:A112"/>
    <mergeCell ref="B111:B112"/>
    <mergeCell ref="C111:C112"/>
    <mergeCell ref="A122:AD122"/>
    <mergeCell ref="V111:V112"/>
    <mergeCell ref="W111:W112"/>
    <mergeCell ref="X111:X112"/>
    <mergeCell ref="Y111:Y112"/>
    <mergeCell ref="Z111:Z112"/>
    <mergeCell ref="AA111:AA112"/>
    <mergeCell ref="H111:H112"/>
    <mergeCell ref="I111:I112"/>
    <mergeCell ref="L111:L112"/>
    <mergeCell ref="AC111:AC112"/>
    <mergeCell ref="O111:O112"/>
    <mergeCell ref="P111:P112"/>
    <mergeCell ref="Q111:Q112"/>
    <mergeCell ref="R111:R112"/>
    <mergeCell ref="S111:S112"/>
    <mergeCell ref="T111:T112"/>
    <mergeCell ref="A135:AD135"/>
    <mergeCell ref="A143:AD143"/>
    <mergeCell ref="A144:AD144"/>
    <mergeCell ref="A145:A146"/>
    <mergeCell ref="B145:B146"/>
    <mergeCell ref="C145:C146"/>
    <mergeCell ref="D145:D146"/>
    <mergeCell ref="E145:E146"/>
    <mergeCell ref="F145:F146"/>
    <mergeCell ref="Q145:Q146"/>
    <mergeCell ref="N145:N146"/>
    <mergeCell ref="O145:O146"/>
    <mergeCell ref="G145:G146"/>
    <mergeCell ref="H145:H146"/>
    <mergeCell ref="I145:I146"/>
    <mergeCell ref="J145:J146"/>
    <mergeCell ref="L145:L146"/>
    <mergeCell ref="M145:M146"/>
    <mergeCell ref="AD177:AD178"/>
    <mergeCell ref="M177:M178"/>
    <mergeCell ref="N177:N178"/>
    <mergeCell ref="A176:AD176"/>
    <mergeCell ref="T145:T146"/>
    <mergeCell ref="V145:V146"/>
    <mergeCell ref="W145:W146"/>
    <mergeCell ref="X145:X146"/>
    <mergeCell ref="Y145:Y146"/>
    <mergeCell ref="Z145:Z146"/>
    <mergeCell ref="AA145:AA146"/>
    <mergeCell ref="AC145:AC146"/>
    <mergeCell ref="AD145:AD146"/>
    <mergeCell ref="A156:AD156"/>
    <mergeCell ref="A168:AD168"/>
    <mergeCell ref="R145:R146"/>
    <mergeCell ref="S145:S146"/>
    <mergeCell ref="A148:AD148"/>
    <mergeCell ref="A153:AD153"/>
    <mergeCell ref="P145:P146"/>
    <mergeCell ref="A175:AD175"/>
    <mergeCell ref="A210:AD210"/>
    <mergeCell ref="A211:AD211"/>
    <mergeCell ref="Z177:Z178"/>
    <mergeCell ref="AA177:AA178"/>
    <mergeCell ref="AC177:AC178"/>
    <mergeCell ref="J177:J178"/>
    <mergeCell ref="L177:L178"/>
    <mergeCell ref="D177:D178"/>
    <mergeCell ref="E177:E178"/>
    <mergeCell ref="A186:AD186"/>
    <mergeCell ref="A189:AD189"/>
    <mergeCell ref="V177:V178"/>
    <mergeCell ref="W177:W178"/>
    <mergeCell ref="X177:X178"/>
    <mergeCell ref="Y177:Y178"/>
    <mergeCell ref="O177:O178"/>
    <mergeCell ref="P177:P178"/>
    <mergeCell ref="Q177:Q178"/>
    <mergeCell ref="R177:R178"/>
    <mergeCell ref="G177:G178"/>
    <mergeCell ref="H177:H178"/>
    <mergeCell ref="I177:I178"/>
    <mergeCell ref="A177:A178"/>
    <mergeCell ref="B177:B178"/>
    <mergeCell ref="C177:C178"/>
    <mergeCell ref="A202:AD202"/>
    <mergeCell ref="L212:L213"/>
    <mergeCell ref="M212:M213"/>
    <mergeCell ref="A212:A213"/>
    <mergeCell ref="B212:B213"/>
    <mergeCell ref="C212:C213"/>
    <mergeCell ref="D212:D213"/>
    <mergeCell ref="E212:E213"/>
    <mergeCell ref="F212:F213"/>
    <mergeCell ref="N212:N213"/>
    <mergeCell ref="O212:O213"/>
    <mergeCell ref="G212:G213"/>
    <mergeCell ref="H212:H213"/>
    <mergeCell ref="I212:I213"/>
    <mergeCell ref="J212:J213"/>
    <mergeCell ref="V212:V213"/>
    <mergeCell ref="W212:W213"/>
    <mergeCell ref="X212:X213"/>
    <mergeCell ref="Y212:Y213"/>
    <mergeCell ref="Z212:Z213"/>
    <mergeCell ref="P212:P213"/>
    <mergeCell ref="Q212:Q213"/>
    <mergeCell ref="B246:B247"/>
    <mergeCell ref="C246:C247"/>
    <mergeCell ref="D246:D247"/>
    <mergeCell ref="E246:E247"/>
    <mergeCell ref="AD246:AD247"/>
    <mergeCell ref="M246:M247"/>
    <mergeCell ref="N246:N247"/>
    <mergeCell ref="V246:V247"/>
    <mergeCell ref="W246:W247"/>
    <mergeCell ref="X246:X247"/>
    <mergeCell ref="AA212:AA213"/>
    <mergeCell ref="AC212:AC213"/>
    <mergeCell ref="AD212:AD213"/>
    <mergeCell ref="A223:AD223"/>
    <mergeCell ref="A236:AD236"/>
    <mergeCell ref="R212:R213"/>
    <mergeCell ref="S212:S213"/>
    <mergeCell ref="A215:AD215"/>
    <mergeCell ref="A220:AD220"/>
    <mergeCell ref="T212:T213"/>
    <mergeCell ref="A244:AD244"/>
    <mergeCell ref="A277:AD277"/>
    <mergeCell ref="A278:AD278"/>
    <mergeCell ref="Z246:Z247"/>
    <mergeCell ref="AA246:AA247"/>
    <mergeCell ref="AC246:AC247"/>
    <mergeCell ref="J246:J247"/>
    <mergeCell ref="L246:L247"/>
    <mergeCell ref="A245:AD245"/>
    <mergeCell ref="A246:A247"/>
    <mergeCell ref="Y246:Y247"/>
    <mergeCell ref="O246:O247"/>
    <mergeCell ref="P246:P247"/>
    <mergeCell ref="Q246:Q247"/>
    <mergeCell ref="R246:R247"/>
    <mergeCell ref="F279:F280"/>
    <mergeCell ref="A249:AD249"/>
    <mergeCell ref="S246:S247"/>
    <mergeCell ref="T246:T247"/>
    <mergeCell ref="F246:F247"/>
    <mergeCell ref="G246:G247"/>
    <mergeCell ref="H246:H247"/>
    <mergeCell ref="I246:I247"/>
    <mergeCell ref="A254:AD254"/>
    <mergeCell ref="A257:AD257"/>
    <mergeCell ref="Q279:Q280"/>
    <mergeCell ref="R279:R280"/>
    <mergeCell ref="A269:AD269"/>
    <mergeCell ref="L279:L280"/>
    <mergeCell ref="M279:M280"/>
    <mergeCell ref="A279:A280"/>
    <mergeCell ref="B279:B280"/>
    <mergeCell ref="C279:C280"/>
    <mergeCell ref="D279:D280"/>
    <mergeCell ref="E279:E280"/>
    <mergeCell ref="G279:G280"/>
    <mergeCell ref="H279:H280"/>
    <mergeCell ref="I279:I280"/>
    <mergeCell ref="J279:J280"/>
    <mergeCell ref="AD279:AD280"/>
    <mergeCell ref="AA279:AA280"/>
    <mergeCell ref="AC279:AC280"/>
    <mergeCell ref="N279:N280"/>
    <mergeCell ref="O279:O280"/>
    <mergeCell ref="P279:P280"/>
    <mergeCell ref="T279:T280"/>
    <mergeCell ref="V279:V280"/>
    <mergeCell ref="W279:W280"/>
    <mergeCell ref="X279:X280"/>
    <mergeCell ref="Y279:Y280"/>
    <mergeCell ref="Z279:Z280"/>
    <mergeCell ref="S279:S280"/>
    <mergeCell ref="A290:AD290"/>
    <mergeCell ref="A302:AD302"/>
    <mergeCell ref="F312:F313"/>
    <mergeCell ref="G312:G313"/>
    <mergeCell ref="H312:H313"/>
    <mergeCell ref="Y312:Y313"/>
    <mergeCell ref="O312:O313"/>
    <mergeCell ref="P312:P313"/>
    <mergeCell ref="Q312:Q313"/>
    <mergeCell ref="W312:W313"/>
    <mergeCell ref="A282:AD282"/>
    <mergeCell ref="A287:AD287"/>
    <mergeCell ref="A310:AD310"/>
    <mergeCell ref="AC312:AC313"/>
    <mergeCell ref="J312:J313"/>
    <mergeCell ref="L312:L313"/>
    <mergeCell ref="Z312:Z313"/>
    <mergeCell ref="AA312:AA313"/>
    <mergeCell ref="M312:M313"/>
    <mergeCell ref="N312:N313"/>
    <mergeCell ref="X312:X313"/>
    <mergeCell ref="A312:A313"/>
    <mergeCell ref="B312:B313"/>
    <mergeCell ref="C312:C313"/>
    <mergeCell ref="D312:D313"/>
    <mergeCell ref="E312:E313"/>
    <mergeCell ref="R312:R313"/>
    <mergeCell ref="L515:L516"/>
    <mergeCell ref="A335:AD335"/>
    <mergeCell ref="I312:I313"/>
    <mergeCell ref="A320:AD320"/>
    <mergeCell ref="A323:AD323"/>
    <mergeCell ref="AD312:AD313"/>
    <mergeCell ref="A315:AD315"/>
    <mergeCell ref="S312:S313"/>
    <mergeCell ref="T312:T313"/>
    <mergeCell ref="V312:V313"/>
    <mergeCell ref="F346:F347"/>
    <mergeCell ref="M515:M516"/>
    <mergeCell ref="N515:N516"/>
    <mergeCell ref="O515:O516"/>
    <mergeCell ref="P515:P516"/>
    <mergeCell ref="Q515:Q516"/>
    <mergeCell ref="G515:G516"/>
    <mergeCell ref="H515:H516"/>
    <mergeCell ref="I515:I516"/>
    <mergeCell ref="J515:J516"/>
    <mergeCell ref="G346:G347"/>
    <mergeCell ref="A311:AD311"/>
    <mergeCell ref="A1:AD2"/>
    <mergeCell ref="A344:AD344"/>
    <mergeCell ref="A345:AD345"/>
    <mergeCell ref="A346:A347"/>
    <mergeCell ref="B346:B347"/>
    <mergeCell ref="C346:C347"/>
    <mergeCell ref="D346:D347"/>
    <mergeCell ref="E346:E347"/>
    <mergeCell ref="P346:P347"/>
    <mergeCell ref="Q346:Q347"/>
    <mergeCell ref="R346:R347"/>
    <mergeCell ref="S346:S347"/>
    <mergeCell ref="T346:T347"/>
    <mergeCell ref="H346:H347"/>
    <mergeCell ref="I346:I347"/>
    <mergeCell ref="J346:J347"/>
    <mergeCell ref="L346:L347"/>
    <mergeCell ref="M346:M347"/>
    <mergeCell ref="A355:AD355"/>
    <mergeCell ref="A358:AD358"/>
    <mergeCell ref="V346:V347"/>
    <mergeCell ref="W346:W347"/>
    <mergeCell ref="X346:X347"/>
    <mergeCell ref="Y346:Y347"/>
    <mergeCell ref="N346:N347"/>
    <mergeCell ref="Z346:Z347"/>
    <mergeCell ref="AA346:AA347"/>
    <mergeCell ref="O346:O347"/>
    <mergeCell ref="A413:AD413"/>
    <mergeCell ref="A414:AD414"/>
    <mergeCell ref="A415:A416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L415:L416"/>
    <mergeCell ref="M415:M416"/>
    <mergeCell ref="N415:N416"/>
    <mergeCell ref="O415:O416"/>
    <mergeCell ref="Z415:Z416"/>
    <mergeCell ref="AA415:AA416"/>
    <mergeCell ref="AC415:AC416"/>
    <mergeCell ref="P415:P416"/>
    <mergeCell ref="Q415:Q416"/>
    <mergeCell ref="R415:R416"/>
    <mergeCell ref="S415:S416"/>
    <mergeCell ref="T415:T416"/>
    <mergeCell ref="V415:V416"/>
    <mergeCell ref="G447:G448"/>
    <mergeCell ref="H447:H448"/>
    <mergeCell ref="AD415:AD416"/>
    <mergeCell ref="A418:AD418"/>
    <mergeCell ref="A423:AD423"/>
    <mergeCell ref="A426:AD426"/>
    <mergeCell ref="A438:AD438"/>
    <mergeCell ref="W415:W416"/>
    <mergeCell ref="X415:X416"/>
    <mergeCell ref="Y415:Y416"/>
    <mergeCell ref="Q447:Q448"/>
    <mergeCell ref="R447:R448"/>
    <mergeCell ref="A445:AD445"/>
    <mergeCell ref="A446:AD446"/>
    <mergeCell ref="A447:A448"/>
    <mergeCell ref="B447:B448"/>
    <mergeCell ref="C447:C448"/>
    <mergeCell ref="D447:D448"/>
    <mergeCell ref="E447:E448"/>
    <mergeCell ref="F447:F448"/>
    <mergeCell ref="A450:AD450"/>
    <mergeCell ref="A455:AD455"/>
    <mergeCell ref="I447:I448"/>
    <mergeCell ref="J447:J448"/>
    <mergeCell ref="L447:L448"/>
    <mergeCell ref="M447:M448"/>
    <mergeCell ref="N447:N448"/>
    <mergeCell ref="AA447:AA448"/>
    <mergeCell ref="O447:O448"/>
    <mergeCell ref="P447:P448"/>
    <mergeCell ref="A458:AD458"/>
    <mergeCell ref="V447:V448"/>
    <mergeCell ref="W447:W448"/>
    <mergeCell ref="X447:X448"/>
    <mergeCell ref="Y447:Y448"/>
    <mergeCell ref="Z447:Z448"/>
    <mergeCell ref="S447:S448"/>
    <mergeCell ref="T447:T448"/>
    <mergeCell ref="AC447:AC448"/>
    <mergeCell ref="AD447:AD448"/>
    <mergeCell ref="A471:AD471"/>
    <mergeCell ref="A480:AD480"/>
    <mergeCell ref="A481:AD481"/>
    <mergeCell ref="A482:A483"/>
    <mergeCell ref="B482:B483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L482:L483"/>
    <mergeCell ref="M482:M483"/>
    <mergeCell ref="W482:W483"/>
    <mergeCell ref="X482:X483"/>
    <mergeCell ref="Y482:Y483"/>
    <mergeCell ref="Z482:Z483"/>
    <mergeCell ref="N482:N483"/>
    <mergeCell ref="O482:O483"/>
    <mergeCell ref="P482:P483"/>
    <mergeCell ref="Q482:Q483"/>
    <mergeCell ref="R482:R483"/>
    <mergeCell ref="S482:S483"/>
    <mergeCell ref="C515:C516"/>
    <mergeCell ref="D515:D516"/>
    <mergeCell ref="E515:E516"/>
    <mergeCell ref="AA482:AA483"/>
    <mergeCell ref="AC482:AC483"/>
    <mergeCell ref="AD482:AD483"/>
    <mergeCell ref="A485:AD485"/>
    <mergeCell ref="A490:AD490"/>
    <mergeCell ref="T482:T483"/>
    <mergeCell ref="V482:V483"/>
    <mergeCell ref="F550:F551"/>
    <mergeCell ref="G550:G551"/>
    <mergeCell ref="H550:H551"/>
    <mergeCell ref="I550:I551"/>
    <mergeCell ref="A493:AD493"/>
    <mergeCell ref="A505:AD505"/>
    <mergeCell ref="A513:AD513"/>
    <mergeCell ref="A514:AD514"/>
    <mergeCell ref="A515:A516"/>
    <mergeCell ref="B515:B516"/>
    <mergeCell ref="A558:AD558"/>
    <mergeCell ref="A561:AD561"/>
    <mergeCell ref="A574:AD574"/>
    <mergeCell ref="A583:AD583"/>
    <mergeCell ref="A584:AD584"/>
    <mergeCell ref="Z550:Z551"/>
    <mergeCell ref="AA550:AA551"/>
    <mergeCell ref="AC550:AC551"/>
    <mergeCell ref="AD550:AD551"/>
    <mergeCell ref="A553:AD553"/>
    <mergeCell ref="A585:A586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L585:L586"/>
    <mergeCell ref="M585:M586"/>
    <mergeCell ref="Z585:Z586"/>
    <mergeCell ref="N585:N586"/>
    <mergeCell ref="O585:O586"/>
    <mergeCell ref="P585:P586"/>
    <mergeCell ref="Q585:Q586"/>
    <mergeCell ref="R585:R586"/>
    <mergeCell ref="S585:S586"/>
    <mergeCell ref="AA585:AA586"/>
    <mergeCell ref="AC585:AC586"/>
    <mergeCell ref="AD585:AD586"/>
    <mergeCell ref="A588:AD588"/>
    <mergeCell ref="A593:AD593"/>
    <mergeCell ref="T585:T586"/>
    <mergeCell ref="V585:V586"/>
    <mergeCell ref="W585:W586"/>
    <mergeCell ref="X585:X586"/>
    <mergeCell ref="Y585:Y586"/>
    <mergeCell ref="A596:AD596"/>
    <mergeCell ref="A610:AD610"/>
    <mergeCell ref="A619:AD619"/>
    <mergeCell ref="A620:AD620"/>
    <mergeCell ref="A621:A622"/>
    <mergeCell ref="B621:B622"/>
    <mergeCell ref="C621:C622"/>
    <mergeCell ref="D621:D622"/>
    <mergeCell ref="E621:E622"/>
    <mergeCell ref="F621:F622"/>
    <mergeCell ref="S621:S622"/>
    <mergeCell ref="G621:G622"/>
    <mergeCell ref="H621:H622"/>
    <mergeCell ref="I621:I622"/>
    <mergeCell ref="J621:J622"/>
    <mergeCell ref="L621:L622"/>
    <mergeCell ref="M621:M622"/>
    <mergeCell ref="V621:V622"/>
    <mergeCell ref="W621:W622"/>
    <mergeCell ref="X621:X622"/>
    <mergeCell ref="Y621:Y622"/>
    <mergeCell ref="A629:AD629"/>
    <mergeCell ref="N621:N622"/>
    <mergeCell ref="O621:O622"/>
    <mergeCell ref="P621:P622"/>
    <mergeCell ref="Q621:Q622"/>
    <mergeCell ref="R621:R622"/>
    <mergeCell ref="A632:AD632"/>
    <mergeCell ref="A644:AD644"/>
    <mergeCell ref="A652:AD652"/>
    <mergeCell ref="A653:AD653"/>
    <mergeCell ref="Z621:Z622"/>
    <mergeCell ref="AA621:AA622"/>
    <mergeCell ref="AC621:AC622"/>
    <mergeCell ref="AD621:AD622"/>
    <mergeCell ref="A624:AD624"/>
    <mergeCell ref="T621:T622"/>
    <mergeCell ref="I654:I655"/>
    <mergeCell ref="J654:J655"/>
    <mergeCell ref="L654:L655"/>
    <mergeCell ref="M654:M655"/>
    <mergeCell ref="A654:A655"/>
    <mergeCell ref="B654:B655"/>
    <mergeCell ref="C654:C655"/>
    <mergeCell ref="D654:D655"/>
    <mergeCell ref="E654:E655"/>
    <mergeCell ref="F654:F655"/>
    <mergeCell ref="A662:AD662"/>
    <mergeCell ref="T654:T655"/>
    <mergeCell ref="V654:V655"/>
    <mergeCell ref="W654:W655"/>
    <mergeCell ref="X654:X655"/>
    <mergeCell ref="Y654:Y655"/>
    <mergeCell ref="Z654:Z655"/>
    <mergeCell ref="N654:N655"/>
    <mergeCell ref="G654:G655"/>
    <mergeCell ref="H654:H655"/>
    <mergeCell ref="A690:B690"/>
    <mergeCell ref="A691:B691"/>
    <mergeCell ref="A692:B692"/>
    <mergeCell ref="AA654:AA655"/>
    <mergeCell ref="AC654:AC655"/>
    <mergeCell ref="O654:O655"/>
    <mergeCell ref="P654:P655"/>
    <mergeCell ref="Q654:Q655"/>
    <mergeCell ref="R654:R655"/>
    <mergeCell ref="S654:S655"/>
    <mergeCell ref="A687:B687"/>
    <mergeCell ref="A688:B688"/>
    <mergeCell ref="A689:B689"/>
    <mergeCell ref="V685:V686"/>
    <mergeCell ref="AC685:AC686"/>
    <mergeCell ref="A665:AD665"/>
    <mergeCell ref="A678:AD678"/>
    <mergeCell ref="X685:X686"/>
    <mergeCell ref="Y685:Y686"/>
    <mergeCell ref="Z685:Z686"/>
    <mergeCell ref="AA685:AA686"/>
    <mergeCell ref="AD685:AD686"/>
    <mergeCell ref="P685:P686"/>
    <mergeCell ref="Q685:Q686"/>
    <mergeCell ref="R685:R686"/>
    <mergeCell ref="S685:S686"/>
    <mergeCell ref="T685:T686"/>
    <mergeCell ref="W685:W686"/>
    <mergeCell ref="H685:H686"/>
    <mergeCell ref="I685:I686"/>
    <mergeCell ref="J685:J686"/>
    <mergeCell ref="M685:M686"/>
    <mergeCell ref="N685:N686"/>
    <mergeCell ref="O685:O686"/>
    <mergeCell ref="L685:L686"/>
    <mergeCell ref="A685:B686"/>
    <mergeCell ref="C685:C686"/>
    <mergeCell ref="D685:D686"/>
    <mergeCell ref="E685:E686"/>
    <mergeCell ref="F685:F686"/>
    <mergeCell ref="G685:G686"/>
    <mergeCell ref="A26:AD26"/>
    <mergeCell ref="A60:AD60"/>
    <mergeCell ref="A96:AD96"/>
    <mergeCell ref="A131:AD131"/>
    <mergeCell ref="A164:AD164"/>
    <mergeCell ref="A198:AD198"/>
    <mergeCell ref="A180:AD180"/>
    <mergeCell ref="S177:S178"/>
    <mergeCell ref="T177:T178"/>
    <mergeCell ref="F177:F178"/>
    <mergeCell ref="A232:AD232"/>
    <mergeCell ref="A265:AD265"/>
    <mergeCell ref="A298:AD298"/>
    <mergeCell ref="A331:AD331"/>
    <mergeCell ref="A366:AD366"/>
    <mergeCell ref="A401:AD401"/>
    <mergeCell ref="A370:AD370"/>
    <mergeCell ref="AC346:AC347"/>
    <mergeCell ref="AD346:AD347"/>
    <mergeCell ref="A349:AD349"/>
    <mergeCell ref="A640:AD640"/>
    <mergeCell ref="A674:AD674"/>
    <mergeCell ref="A434:AD434"/>
    <mergeCell ref="A467:AD467"/>
    <mergeCell ref="A501:AD501"/>
    <mergeCell ref="A536:AD536"/>
    <mergeCell ref="A570:AD570"/>
    <mergeCell ref="A606:AD606"/>
    <mergeCell ref="AD654:AD655"/>
    <mergeCell ref="A657:AD657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4" r:id="rId1"/>
  <rowBreaks count="20" manualBreakCount="20">
    <brk id="37" max="29" man="1"/>
    <brk id="72" max="29" man="1"/>
    <brk id="108" max="29" man="1"/>
    <brk id="142" max="29" man="1"/>
    <brk id="174" max="29" man="1"/>
    <brk id="209" max="29" man="1"/>
    <brk id="243" max="29" man="1"/>
    <brk id="276" max="29" man="1"/>
    <brk id="309" max="255" man="1"/>
    <brk id="343" max="29" man="1"/>
    <brk id="377" max="29" man="1"/>
    <brk id="412" max="29" man="1"/>
    <brk id="444" max="29" man="1"/>
    <brk id="479" max="29" man="1"/>
    <brk id="512" max="29" man="1"/>
    <brk id="547" max="29" man="1"/>
    <brk id="582" max="29" man="1"/>
    <brk id="618" max="29" man="1"/>
    <brk id="651" max="29" man="1"/>
    <brk id="684" max="2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880"/>
  <sheetViews>
    <sheetView view="pageBreakPreview" zoomScale="15" zoomScaleNormal="40" zoomScaleSheetLayoutView="15" zoomScalePageLayoutView="0" workbookViewId="0" topLeftCell="A20">
      <selection activeCell="B29" sqref="B29"/>
    </sheetView>
  </sheetViews>
  <sheetFormatPr defaultColWidth="9.140625" defaultRowHeight="12.75"/>
  <cols>
    <col min="1" max="1" width="50.140625" style="74" customWidth="1"/>
    <col min="2" max="2" width="164.8515625" style="38" customWidth="1"/>
    <col min="3" max="3" width="88.140625" style="39" customWidth="1"/>
    <col min="4" max="4" width="65.140625" style="38" customWidth="1"/>
    <col min="5" max="5" width="60.7109375" style="38" customWidth="1"/>
    <col min="6" max="6" width="64.28125" style="38" customWidth="1"/>
    <col min="7" max="7" width="106.57421875" style="38" customWidth="1"/>
    <col min="8" max="8" width="75.57421875" style="38" customWidth="1"/>
    <col min="9" max="9" width="34.140625" style="38" customWidth="1"/>
    <col min="10" max="10" width="54.28125" style="38" customWidth="1"/>
    <col min="11" max="11" width="10.8515625" style="38" bestFit="1" customWidth="1"/>
    <col min="12" max="16384" width="9.140625" style="38" customWidth="1"/>
  </cols>
  <sheetData>
    <row r="1" ht="88.5">
      <c r="A1" s="37"/>
    </row>
    <row r="2" spans="1:8" ht="88.5">
      <c r="A2" s="175" t="s">
        <v>187</v>
      </c>
      <c r="B2" s="175"/>
      <c r="C2" s="175"/>
      <c r="D2" s="175"/>
      <c r="E2" s="175"/>
      <c r="F2" s="175"/>
      <c r="G2" s="175"/>
      <c r="H2" s="175"/>
    </row>
    <row r="3" spans="1:8" ht="88.5">
      <c r="A3" s="182" t="s">
        <v>48</v>
      </c>
      <c r="B3" s="182"/>
      <c r="C3" s="182"/>
      <c r="D3" s="182"/>
      <c r="E3" s="182"/>
      <c r="F3" s="182"/>
      <c r="G3" s="182"/>
      <c r="H3" s="182"/>
    </row>
    <row r="4" spans="1:8" ht="88.5">
      <c r="A4" s="176" t="s">
        <v>64</v>
      </c>
      <c r="B4" s="176"/>
      <c r="C4" s="176"/>
      <c r="D4" s="176"/>
      <c r="E4" s="176"/>
      <c r="F4" s="176"/>
      <c r="G4" s="176"/>
      <c r="H4" s="176"/>
    </row>
    <row r="5" spans="1:8" ht="89.25" thickBot="1">
      <c r="A5" s="147"/>
      <c r="B5" s="147"/>
      <c r="C5" s="147"/>
      <c r="D5" s="147"/>
      <c r="E5" s="147"/>
      <c r="F5" s="147"/>
      <c r="G5" s="147"/>
      <c r="H5" s="147"/>
    </row>
    <row r="6" spans="1:8" ht="89.25" thickBot="1">
      <c r="A6" s="178" t="s">
        <v>30</v>
      </c>
      <c r="B6" s="180" t="s">
        <v>50</v>
      </c>
      <c r="C6" s="183" t="s">
        <v>111</v>
      </c>
      <c r="D6" s="172" t="s">
        <v>24</v>
      </c>
      <c r="E6" s="173"/>
      <c r="F6" s="174"/>
      <c r="G6" s="180" t="s">
        <v>51</v>
      </c>
      <c r="H6" s="180" t="s">
        <v>112</v>
      </c>
    </row>
    <row r="7" spans="1:8" ht="89.25" thickBot="1">
      <c r="A7" s="179"/>
      <c r="B7" s="181"/>
      <c r="C7" s="184"/>
      <c r="D7" s="40" t="s">
        <v>0</v>
      </c>
      <c r="E7" s="41" t="s">
        <v>1</v>
      </c>
      <c r="F7" s="41" t="s">
        <v>2</v>
      </c>
      <c r="G7" s="181"/>
      <c r="H7" s="181"/>
    </row>
    <row r="8" spans="1:8" s="46" customFormat="1" ht="89.25" thickBot="1">
      <c r="A8" s="42">
        <v>1</v>
      </c>
      <c r="B8" s="43">
        <v>2</v>
      </c>
      <c r="C8" s="44">
        <v>3</v>
      </c>
      <c r="D8" s="45">
        <v>4</v>
      </c>
      <c r="E8" s="43">
        <v>5</v>
      </c>
      <c r="F8" s="43">
        <v>6</v>
      </c>
      <c r="G8" s="43">
        <v>7</v>
      </c>
      <c r="H8" s="43">
        <v>8</v>
      </c>
    </row>
    <row r="9" spans="1:8" ht="89.25" thickBot="1">
      <c r="A9" s="172" t="s">
        <v>5</v>
      </c>
      <c r="B9" s="173"/>
      <c r="C9" s="173"/>
      <c r="D9" s="173"/>
      <c r="E9" s="173"/>
      <c r="F9" s="173"/>
      <c r="G9" s="173"/>
      <c r="H9" s="174"/>
    </row>
    <row r="10" spans="1:8" ht="177.75" thickBot="1">
      <c r="A10" s="54">
        <v>85</v>
      </c>
      <c r="B10" s="26" t="s">
        <v>103</v>
      </c>
      <c r="C10" s="34">
        <v>120</v>
      </c>
      <c r="D10" s="48">
        <v>6.41</v>
      </c>
      <c r="E10" s="48">
        <v>6.63</v>
      </c>
      <c r="F10" s="48">
        <v>27.89</v>
      </c>
      <c r="G10" s="48">
        <v>201</v>
      </c>
      <c r="H10" s="48">
        <v>0.06</v>
      </c>
    </row>
    <row r="11" spans="1:8" ht="89.25" thickBot="1">
      <c r="A11" s="47">
        <v>41</v>
      </c>
      <c r="B11" s="24" t="s">
        <v>101</v>
      </c>
      <c r="C11" s="53" t="s">
        <v>258</v>
      </c>
      <c r="D11" s="52">
        <v>0.48</v>
      </c>
      <c r="E11" s="52">
        <v>1.89</v>
      </c>
      <c r="F11" s="52">
        <v>3.09</v>
      </c>
      <c r="G11" s="52">
        <v>31.2</v>
      </c>
      <c r="H11" s="52">
        <v>3.84</v>
      </c>
    </row>
    <row r="12" spans="1:8" ht="89.25" thickBot="1">
      <c r="A12" s="49">
        <v>31</v>
      </c>
      <c r="B12" s="50" t="s">
        <v>9</v>
      </c>
      <c r="C12" s="34">
        <v>180</v>
      </c>
      <c r="D12" s="48">
        <v>0.05</v>
      </c>
      <c r="E12" s="48">
        <v>0</v>
      </c>
      <c r="F12" s="48">
        <v>10.92</v>
      </c>
      <c r="G12" s="48">
        <v>42</v>
      </c>
      <c r="H12" s="48">
        <v>1.92</v>
      </c>
    </row>
    <row r="13" spans="1:8" ht="89.25" thickBot="1">
      <c r="A13" s="47">
        <v>16</v>
      </c>
      <c r="B13" s="24" t="s">
        <v>36</v>
      </c>
      <c r="C13" s="53" t="s">
        <v>240</v>
      </c>
      <c r="D13" s="52">
        <v>1.56</v>
      </c>
      <c r="E13" s="52">
        <v>3.73</v>
      </c>
      <c r="F13" s="52">
        <v>9.9</v>
      </c>
      <c r="G13" s="52">
        <v>79</v>
      </c>
      <c r="H13" s="52">
        <v>0</v>
      </c>
    </row>
    <row r="14" spans="1:8" ht="89.25" thickBot="1">
      <c r="A14" s="47"/>
      <c r="B14" s="24" t="s">
        <v>6</v>
      </c>
      <c r="C14" s="34">
        <f>C10+C11+C12+C13</f>
        <v>365</v>
      </c>
      <c r="D14" s="52">
        <f>SUM(D10:D13)</f>
        <v>8.5</v>
      </c>
      <c r="E14" s="52">
        <f>SUM(E10:E13)</f>
        <v>12.25</v>
      </c>
      <c r="F14" s="52">
        <f>SUM(F10:F13)</f>
        <v>51.8</v>
      </c>
      <c r="G14" s="52">
        <f>SUM(G10:G13)</f>
        <v>353.2</v>
      </c>
      <c r="H14" s="52">
        <f>SUM(H10:H13)</f>
        <v>5.82</v>
      </c>
    </row>
    <row r="15" spans="1:8" ht="89.25" thickBot="1">
      <c r="A15" s="172" t="s">
        <v>53</v>
      </c>
      <c r="B15" s="173"/>
      <c r="C15" s="173"/>
      <c r="D15" s="173"/>
      <c r="E15" s="173"/>
      <c r="F15" s="173"/>
      <c r="G15" s="173"/>
      <c r="H15" s="174"/>
    </row>
    <row r="16" spans="1:8" ht="89.25" thickBot="1">
      <c r="A16" s="47" t="s">
        <v>32</v>
      </c>
      <c r="B16" s="24" t="s">
        <v>182</v>
      </c>
      <c r="C16" s="53" t="s">
        <v>26</v>
      </c>
      <c r="D16" s="52">
        <v>0.2</v>
      </c>
      <c r="E16" s="52">
        <v>0.11</v>
      </c>
      <c r="F16" s="52">
        <v>10.11</v>
      </c>
      <c r="G16" s="52">
        <v>46</v>
      </c>
      <c r="H16" s="52">
        <v>2</v>
      </c>
    </row>
    <row r="17" spans="1:8" ht="89.25" thickBot="1">
      <c r="A17" s="47"/>
      <c r="B17" s="24" t="s">
        <v>6</v>
      </c>
      <c r="C17" s="51" t="s">
        <v>26</v>
      </c>
      <c r="D17" s="52">
        <f>SUM(D16)</f>
        <v>0.2</v>
      </c>
      <c r="E17" s="52">
        <f>SUM(E16)</f>
        <v>0.11</v>
      </c>
      <c r="F17" s="52">
        <f>SUM(F16)</f>
        <v>10.11</v>
      </c>
      <c r="G17" s="52">
        <f>SUM(G16)</f>
        <v>46</v>
      </c>
      <c r="H17" s="52">
        <f>SUM(H16)</f>
        <v>2</v>
      </c>
    </row>
    <row r="18" spans="1:8" ht="89.25" thickBot="1">
      <c r="A18" s="172" t="s">
        <v>8</v>
      </c>
      <c r="B18" s="173"/>
      <c r="C18" s="173"/>
      <c r="D18" s="173"/>
      <c r="E18" s="173"/>
      <c r="F18" s="173"/>
      <c r="G18" s="173"/>
      <c r="H18" s="174"/>
    </row>
    <row r="19" spans="1:8" ht="266.25" thickBot="1">
      <c r="A19" s="54">
        <v>38</v>
      </c>
      <c r="B19" s="24" t="s">
        <v>268</v>
      </c>
      <c r="C19" s="34">
        <v>35</v>
      </c>
      <c r="D19" s="52">
        <v>1.75</v>
      </c>
      <c r="E19" s="52">
        <v>0.07</v>
      </c>
      <c r="F19" s="52">
        <v>2.91</v>
      </c>
      <c r="G19" s="52">
        <v>19.25</v>
      </c>
      <c r="H19" s="52">
        <v>3.5</v>
      </c>
    </row>
    <row r="20" spans="1:8" ht="177.75" thickBot="1">
      <c r="A20" s="47">
        <v>46</v>
      </c>
      <c r="B20" s="24" t="s">
        <v>72</v>
      </c>
      <c r="C20" s="53" t="s">
        <v>27</v>
      </c>
      <c r="D20" s="52">
        <v>2.5</v>
      </c>
      <c r="E20" s="52">
        <v>3.48</v>
      </c>
      <c r="F20" s="52">
        <v>11.78</v>
      </c>
      <c r="G20" s="52">
        <v>86.36</v>
      </c>
      <c r="H20" s="52">
        <v>4.73</v>
      </c>
    </row>
    <row r="21" spans="1:8" ht="89.25" thickBot="1">
      <c r="A21" s="47">
        <v>96</v>
      </c>
      <c r="B21" s="24" t="s">
        <v>46</v>
      </c>
      <c r="C21" s="51" t="s">
        <v>26</v>
      </c>
      <c r="D21" s="52">
        <v>8.43</v>
      </c>
      <c r="E21" s="52">
        <v>7.76</v>
      </c>
      <c r="F21" s="52">
        <v>4.72</v>
      </c>
      <c r="G21" s="52">
        <v>123</v>
      </c>
      <c r="H21" s="52">
        <v>12.42</v>
      </c>
    </row>
    <row r="22" spans="1:8" ht="89.25" thickBot="1">
      <c r="A22" s="47">
        <v>89</v>
      </c>
      <c r="B22" s="24" t="s">
        <v>230</v>
      </c>
      <c r="C22" s="34">
        <v>15</v>
      </c>
      <c r="D22" s="52">
        <v>0.3</v>
      </c>
      <c r="E22" s="52">
        <v>3.37</v>
      </c>
      <c r="F22" s="52">
        <v>1.08</v>
      </c>
      <c r="G22" s="52">
        <v>30</v>
      </c>
      <c r="H22" s="52">
        <v>0.01</v>
      </c>
    </row>
    <row r="23" spans="1:8" ht="177.75" thickBot="1">
      <c r="A23" s="47">
        <v>9</v>
      </c>
      <c r="B23" s="24" t="s">
        <v>43</v>
      </c>
      <c r="C23" s="34">
        <v>150</v>
      </c>
      <c r="D23" s="52">
        <v>0.33</v>
      </c>
      <c r="E23" s="52">
        <v>0</v>
      </c>
      <c r="F23" s="52">
        <v>16.67</v>
      </c>
      <c r="G23" s="52">
        <v>70</v>
      </c>
      <c r="H23" s="52">
        <v>0.3</v>
      </c>
    </row>
    <row r="24" spans="1:8" ht="177.75" thickBot="1">
      <c r="A24" s="47" t="s">
        <v>32</v>
      </c>
      <c r="B24" s="24" t="s">
        <v>56</v>
      </c>
      <c r="C24" s="34">
        <v>20</v>
      </c>
      <c r="D24" s="52">
        <v>1.6</v>
      </c>
      <c r="E24" s="52">
        <v>0.2</v>
      </c>
      <c r="F24" s="52">
        <v>9.64</v>
      </c>
      <c r="G24" s="52">
        <v>47.2</v>
      </c>
      <c r="H24" s="52">
        <v>0</v>
      </c>
    </row>
    <row r="25" spans="1:8" ht="177.75" thickBot="1">
      <c r="A25" s="47" t="s">
        <v>32</v>
      </c>
      <c r="B25" s="24" t="s">
        <v>58</v>
      </c>
      <c r="C25" s="34">
        <v>40</v>
      </c>
      <c r="D25" s="52">
        <v>2.24</v>
      </c>
      <c r="E25" s="52">
        <v>0.48</v>
      </c>
      <c r="F25" s="52">
        <v>19.76</v>
      </c>
      <c r="G25" s="52">
        <v>92.8</v>
      </c>
      <c r="H25" s="52">
        <v>0</v>
      </c>
    </row>
    <row r="26" spans="1:8" ht="89.25" thickBot="1">
      <c r="A26" s="54"/>
      <c r="B26" s="26" t="s">
        <v>29</v>
      </c>
      <c r="C26" s="34">
        <f aca="true" t="shared" si="0" ref="C26:H26">C19+C20+C21+C22+C23+C24+C25</f>
        <v>510</v>
      </c>
      <c r="D26" s="52">
        <f t="shared" si="0"/>
        <v>17.15</v>
      </c>
      <c r="E26" s="52">
        <f t="shared" si="0"/>
        <v>15.36</v>
      </c>
      <c r="F26" s="52">
        <f t="shared" si="0"/>
        <v>66.56</v>
      </c>
      <c r="G26" s="52">
        <f t="shared" si="0"/>
        <v>468.61</v>
      </c>
      <c r="H26" s="52">
        <f t="shared" si="0"/>
        <v>20.96</v>
      </c>
    </row>
    <row r="27" spans="1:8" ht="89.25" thickBot="1">
      <c r="A27" s="172" t="s">
        <v>145</v>
      </c>
      <c r="B27" s="173"/>
      <c r="C27" s="173"/>
      <c r="D27" s="173"/>
      <c r="E27" s="173"/>
      <c r="F27" s="173"/>
      <c r="G27" s="173"/>
      <c r="H27" s="174"/>
    </row>
    <row r="28" spans="1:8" ht="266.25" thickBot="1">
      <c r="A28" s="55">
        <v>21.1</v>
      </c>
      <c r="B28" s="56" t="s">
        <v>172</v>
      </c>
      <c r="C28" s="51" t="s">
        <v>27</v>
      </c>
      <c r="D28" s="48">
        <v>4.35</v>
      </c>
      <c r="E28" s="48">
        <v>4.8</v>
      </c>
      <c r="F28" s="48">
        <v>6</v>
      </c>
      <c r="G28" s="48">
        <v>88.5</v>
      </c>
      <c r="H28" s="48">
        <v>1.05</v>
      </c>
    </row>
    <row r="29" spans="1:8" ht="266.25" thickBot="1">
      <c r="A29" s="47">
        <v>24</v>
      </c>
      <c r="B29" s="24" t="s">
        <v>104</v>
      </c>
      <c r="C29" s="51" t="s">
        <v>155</v>
      </c>
      <c r="D29" s="52">
        <v>0.9</v>
      </c>
      <c r="E29" s="52">
        <v>1.17</v>
      </c>
      <c r="F29" s="52">
        <v>21</v>
      </c>
      <c r="G29" s="52">
        <v>86.33</v>
      </c>
      <c r="H29" s="52">
        <v>0</v>
      </c>
    </row>
    <row r="30" spans="1:8" ht="89.25" thickBot="1">
      <c r="A30" s="54"/>
      <c r="B30" s="24" t="s">
        <v>29</v>
      </c>
      <c r="C30" s="34">
        <f aca="true" t="shared" si="1" ref="C30:H30">C28+C29</f>
        <v>180</v>
      </c>
      <c r="D30" s="52">
        <f t="shared" si="1"/>
        <v>5.25</v>
      </c>
      <c r="E30" s="52">
        <f t="shared" si="1"/>
        <v>5.97</v>
      </c>
      <c r="F30" s="52">
        <f t="shared" si="1"/>
        <v>27</v>
      </c>
      <c r="G30" s="52">
        <f t="shared" si="1"/>
        <v>174.82999999999998</v>
      </c>
      <c r="H30" s="52">
        <f t="shared" si="1"/>
        <v>1.05</v>
      </c>
    </row>
    <row r="31" spans="1:8" ht="89.25" thickBot="1">
      <c r="A31" s="172" t="s">
        <v>144</v>
      </c>
      <c r="B31" s="173"/>
      <c r="C31" s="173"/>
      <c r="D31" s="173"/>
      <c r="E31" s="173"/>
      <c r="F31" s="173"/>
      <c r="G31" s="173"/>
      <c r="H31" s="174"/>
    </row>
    <row r="32" spans="1:8" ht="177.75" thickBot="1">
      <c r="A32" s="47">
        <v>67</v>
      </c>
      <c r="B32" s="24" t="s">
        <v>180</v>
      </c>
      <c r="C32" s="53" t="s">
        <v>25</v>
      </c>
      <c r="D32" s="52">
        <v>9.34</v>
      </c>
      <c r="E32" s="52">
        <v>4.04</v>
      </c>
      <c r="F32" s="52">
        <v>8.11</v>
      </c>
      <c r="G32" s="52">
        <v>117</v>
      </c>
      <c r="H32" s="52">
        <v>6</v>
      </c>
    </row>
    <row r="33" spans="1:8" ht="177.75" thickBot="1">
      <c r="A33" s="47" t="s">
        <v>32</v>
      </c>
      <c r="B33" s="24" t="s">
        <v>56</v>
      </c>
      <c r="C33" s="34">
        <v>15</v>
      </c>
      <c r="D33" s="52">
        <v>1.2</v>
      </c>
      <c r="E33" s="52">
        <v>0.15</v>
      </c>
      <c r="F33" s="52">
        <v>7.23</v>
      </c>
      <c r="G33" s="52">
        <v>35.4</v>
      </c>
      <c r="H33" s="52">
        <v>0</v>
      </c>
    </row>
    <row r="34" spans="1:8" ht="89.25" thickBot="1">
      <c r="A34" s="54">
        <v>76</v>
      </c>
      <c r="B34" s="50" t="s">
        <v>171</v>
      </c>
      <c r="C34" s="34">
        <v>180</v>
      </c>
      <c r="D34" s="52">
        <v>2.02</v>
      </c>
      <c r="E34" s="52">
        <v>2.3</v>
      </c>
      <c r="F34" s="52">
        <v>11.36</v>
      </c>
      <c r="G34" s="52">
        <v>74</v>
      </c>
      <c r="H34" s="52">
        <v>0.94</v>
      </c>
    </row>
    <row r="35" spans="1:8" ht="177.75" thickBot="1">
      <c r="A35" s="47">
        <v>69</v>
      </c>
      <c r="B35" s="24" t="s">
        <v>106</v>
      </c>
      <c r="C35" s="51" t="s">
        <v>253</v>
      </c>
      <c r="D35" s="52">
        <v>0.34</v>
      </c>
      <c r="E35" s="52">
        <v>0.34</v>
      </c>
      <c r="F35" s="52">
        <v>8.33</v>
      </c>
      <c r="G35" s="52">
        <v>39.95</v>
      </c>
      <c r="H35" s="52">
        <v>8.5</v>
      </c>
    </row>
    <row r="36" spans="1:8" ht="89.25" thickBot="1">
      <c r="A36" s="47"/>
      <c r="B36" s="24" t="s">
        <v>29</v>
      </c>
      <c r="C36" s="34">
        <f aca="true" t="shared" si="2" ref="C36:H36">C32+C33+C34+C35</f>
        <v>480</v>
      </c>
      <c r="D36" s="60">
        <f t="shared" si="2"/>
        <v>12.899999999999999</v>
      </c>
      <c r="E36" s="60">
        <f t="shared" si="2"/>
        <v>6.83</v>
      </c>
      <c r="F36" s="60">
        <f t="shared" si="2"/>
        <v>35.03</v>
      </c>
      <c r="G36" s="60">
        <f t="shared" si="2"/>
        <v>266.35</v>
      </c>
      <c r="H36" s="60">
        <f t="shared" si="2"/>
        <v>15.44</v>
      </c>
    </row>
    <row r="37" spans="1:8" ht="89.25" thickBot="1">
      <c r="A37" s="47"/>
      <c r="B37" s="24"/>
      <c r="C37" s="51"/>
      <c r="D37" s="40" t="s">
        <v>0</v>
      </c>
      <c r="E37" s="41" t="s">
        <v>1</v>
      </c>
      <c r="F37" s="41" t="s">
        <v>2</v>
      </c>
      <c r="G37" s="149" t="s">
        <v>3</v>
      </c>
      <c r="H37" s="41" t="s">
        <v>4</v>
      </c>
    </row>
    <row r="38" spans="1:8" ht="89.25" thickBot="1">
      <c r="A38" s="47"/>
      <c r="B38" s="58" t="s">
        <v>10</v>
      </c>
      <c r="C38" s="51"/>
      <c r="D38" s="52">
        <f>D14+D17+D26+D30+D36</f>
        <v>44</v>
      </c>
      <c r="E38" s="52">
        <f>E14+E17+E26+E30+E36</f>
        <v>40.519999999999996</v>
      </c>
      <c r="F38" s="52">
        <f>F14+F17+F26+F30+F36</f>
        <v>190.5</v>
      </c>
      <c r="G38" s="52">
        <f>G14+G17+G26+G30+G36</f>
        <v>1308.9899999999998</v>
      </c>
      <c r="H38" s="52">
        <f>H14+H17+H26+H30+H36</f>
        <v>45.27</v>
      </c>
    </row>
    <row r="39" spans="1:8" ht="176.25" thickBot="1">
      <c r="A39" s="47"/>
      <c r="B39" s="58" t="s">
        <v>11</v>
      </c>
      <c r="C39" s="51"/>
      <c r="D39" s="52">
        <v>42</v>
      </c>
      <c r="E39" s="52">
        <v>47</v>
      </c>
      <c r="F39" s="52">
        <v>203</v>
      </c>
      <c r="G39" s="52">
        <v>1400</v>
      </c>
      <c r="H39" s="52">
        <v>45</v>
      </c>
    </row>
    <row r="40" spans="1:8" ht="350.25" thickBot="1">
      <c r="A40" s="42"/>
      <c r="B40" s="59" t="s">
        <v>12</v>
      </c>
      <c r="C40" s="41"/>
      <c r="D40" s="60">
        <f>D38*100/D39</f>
        <v>104.76190476190476</v>
      </c>
      <c r="E40" s="60">
        <f>E38*100/E39</f>
        <v>86.2127659574468</v>
      </c>
      <c r="F40" s="60">
        <f>F38*100/F39</f>
        <v>93.8423645320197</v>
      </c>
      <c r="G40" s="60">
        <f>G38*100/G39</f>
        <v>93.49928571428569</v>
      </c>
      <c r="H40" s="60">
        <f>H38*100/H39</f>
        <v>100.6</v>
      </c>
    </row>
    <row r="41" spans="1:8" ht="88.5">
      <c r="A41" s="61"/>
      <c r="B41" s="38" t="s">
        <v>68</v>
      </c>
      <c r="C41" s="38"/>
      <c r="E41" s="62"/>
      <c r="F41" s="62"/>
      <c r="G41" s="62"/>
      <c r="H41" s="62"/>
    </row>
    <row r="42" spans="1:2" ht="102">
      <c r="A42" s="61"/>
      <c r="B42" s="38" t="s">
        <v>271</v>
      </c>
    </row>
    <row r="43" spans="1:2" ht="88.5">
      <c r="A43" s="61"/>
      <c r="B43" s="38" t="s">
        <v>67</v>
      </c>
    </row>
    <row r="44" spans="1:2" ht="88.5">
      <c r="A44" s="61"/>
      <c r="B44" s="38" t="s">
        <v>149</v>
      </c>
    </row>
    <row r="45" spans="1:8" ht="88.5">
      <c r="A45" s="175" t="s">
        <v>195</v>
      </c>
      <c r="B45" s="175"/>
      <c r="C45" s="175"/>
      <c r="D45" s="175"/>
      <c r="E45" s="175"/>
      <c r="F45" s="175"/>
      <c r="G45" s="175"/>
      <c r="H45" s="175"/>
    </row>
    <row r="46" spans="1:8" ht="88.5">
      <c r="A46" s="175" t="s">
        <v>48</v>
      </c>
      <c r="B46" s="175"/>
      <c r="C46" s="175"/>
      <c r="D46" s="175"/>
      <c r="E46" s="175"/>
      <c r="F46" s="175"/>
      <c r="G46" s="175"/>
      <c r="H46" s="175"/>
    </row>
    <row r="47" spans="1:8" ht="88.5">
      <c r="A47" s="176" t="s">
        <v>64</v>
      </c>
      <c r="B47" s="176"/>
      <c r="C47" s="176"/>
      <c r="D47" s="176"/>
      <c r="E47" s="176"/>
      <c r="F47" s="176"/>
      <c r="G47" s="176"/>
      <c r="H47" s="176"/>
    </row>
    <row r="48" spans="1:8" ht="89.25" thickBot="1">
      <c r="A48" s="177"/>
      <c r="B48" s="177"/>
      <c r="C48" s="177"/>
      <c r="D48" s="177"/>
      <c r="E48" s="177"/>
      <c r="F48" s="177"/>
      <c r="G48" s="177"/>
      <c r="H48" s="177"/>
    </row>
    <row r="49" spans="1:8" ht="89.25" thickBot="1">
      <c r="A49" s="178" t="s">
        <v>30</v>
      </c>
      <c r="B49" s="180" t="s">
        <v>50</v>
      </c>
      <c r="C49" s="183" t="s">
        <v>111</v>
      </c>
      <c r="D49" s="188" t="s">
        <v>24</v>
      </c>
      <c r="E49" s="189"/>
      <c r="F49" s="190"/>
      <c r="G49" s="180" t="s">
        <v>51</v>
      </c>
      <c r="H49" s="180" t="s">
        <v>112</v>
      </c>
    </row>
    <row r="50" spans="1:8" ht="89.25" thickBot="1">
      <c r="A50" s="179"/>
      <c r="B50" s="181"/>
      <c r="C50" s="184"/>
      <c r="D50" s="40" t="s">
        <v>0</v>
      </c>
      <c r="E50" s="41" t="s">
        <v>1</v>
      </c>
      <c r="F50" s="41" t="s">
        <v>2</v>
      </c>
      <c r="G50" s="181"/>
      <c r="H50" s="181"/>
    </row>
    <row r="51" spans="1:8" ht="89.25" thickBot="1">
      <c r="A51" s="42">
        <v>1</v>
      </c>
      <c r="B51" s="43">
        <v>2</v>
      </c>
      <c r="C51" s="44">
        <v>3</v>
      </c>
      <c r="D51" s="45">
        <v>4</v>
      </c>
      <c r="E51" s="43">
        <v>5</v>
      </c>
      <c r="F51" s="43">
        <v>6</v>
      </c>
      <c r="G51" s="43">
        <v>7</v>
      </c>
      <c r="H51" s="43">
        <v>8</v>
      </c>
    </row>
    <row r="52" spans="1:8" ht="89.25" thickBot="1">
      <c r="A52" s="172" t="s">
        <v>5</v>
      </c>
      <c r="B52" s="173"/>
      <c r="C52" s="173"/>
      <c r="D52" s="173"/>
      <c r="E52" s="173"/>
      <c r="F52" s="173"/>
      <c r="G52" s="173"/>
      <c r="H52" s="174"/>
    </row>
    <row r="53" spans="1:8" ht="177.75" thickBot="1">
      <c r="A53" s="54">
        <v>45</v>
      </c>
      <c r="B53" s="26" t="s">
        <v>203</v>
      </c>
      <c r="C53" s="34">
        <v>150</v>
      </c>
      <c r="D53" s="48">
        <v>5.76</v>
      </c>
      <c r="E53" s="48">
        <v>5.82</v>
      </c>
      <c r="F53" s="48">
        <v>24.37</v>
      </c>
      <c r="G53" s="48">
        <v>172</v>
      </c>
      <c r="H53" s="48">
        <v>1.47</v>
      </c>
    </row>
    <row r="54" spans="1:8" ht="89.25" thickBot="1">
      <c r="A54" s="54">
        <v>15</v>
      </c>
      <c r="B54" s="50" t="s">
        <v>224</v>
      </c>
      <c r="C54" s="34">
        <v>180</v>
      </c>
      <c r="D54" s="52">
        <v>2.79</v>
      </c>
      <c r="E54" s="52">
        <v>3.04</v>
      </c>
      <c r="F54" s="52">
        <v>12.32</v>
      </c>
      <c r="G54" s="52">
        <v>87</v>
      </c>
      <c r="H54" s="52">
        <v>1.17</v>
      </c>
    </row>
    <row r="55" spans="1:8" ht="89.25" thickBot="1">
      <c r="A55" s="47">
        <v>86</v>
      </c>
      <c r="B55" s="24" t="s">
        <v>206</v>
      </c>
      <c r="C55" s="53" t="s">
        <v>155</v>
      </c>
      <c r="D55" s="52">
        <v>1.57</v>
      </c>
      <c r="E55" s="52">
        <v>0.16</v>
      </c>
      <c r="F55" s="52">
        <v>16.72</v>
      </c>
      <c r="G55" s="52">
        <v>73</v>
      </c>
      <c r="H55" s="52">
        <v>0.02</v>
      </c>
    </row>
    <row r="56" spans="1:8" ht="89.25" thickBot="1">
      <c r="A56" s="47"/>
      <c r="B56" s="24" t="s">
        <v>6</v>
      </c>
      <c r="C56" s="34">
        <f aca="true" t="shared" si="3" ref="C56:H56">C53+C54+C55</f>
        <v>360</v>
      </c>
      <c r="D56" s="52">
        <f t="shared" si="3"/>
        <v>10.120000000000001</v>
      </c>
      <c r="E56" s="52">
        <f t="shared" si="3"/>
        <v>9.02</v>
      </c>
      <c r="F56" s="52">
        <f t="shared" si="3"/>
        <v>53.41</v>
      </c>
      <c r="G56" s="52">
        <f t="shared" si="3"/>
        <v>332</v>
      </c>
      <c r="H56" s="52">
        <f t="shared" si="3"/>
        <v>2.6599999999999997</v>
      </c>
    </row>
    <row r="57" spans="1:8" ht="89.25" thickBot="1">
      <c r="A57" s="172" t="s">
        <v>53</v>
      </c>
      <c r="B57" s="173"/>
      <c r="C57" s="173"/>
      <c r="D57" s="173"/>
      <c r="E57" s="173"/>
      <c r="F57" s="173"/>
      <c r="G57" s="173"/>
      <c r="H57" s="174"/>
    </row>
    <row r="58" spans="1:8" ht="89.25" thickBot="1">
      <c r="A58" s="47" t="s">
        <v>32</v>
      </c>
      <c r="B58" s="24" t="s">
        <v>182</v>
      </c>
      <c r="C58" s="53" t="s">
        <v>26</v>
      </c>
      <c r="D58" s="52">
        <v>0.2</v>
      </c>
      <c r="E58" s="52">
        <v>0.11</v>
      </c>
      <c r="F58" s="52">
        <v>10.11</v>
      </c>
      <c r="G58" s="52">
        <v>46</v>
      </c>
      <c r="H58" s="52">
        <v>2</v>
      </c>
    </row>
    <row r="59" spans="1:8" ht="89.25" thickBot="1">
      <c r="A59" s="47"/>
      <c r="B59" s="24" t="s">
        <v>6</v>
      </c>
      <c r="C59" s="51" t="s">
        <v>26</v>
      </c>
      <c r="D59" s="52">
        <f>SUM(D58)</f>
        <v>0.2</v>
      </c>
      <c r="E59" s="52">
        <f>SUM(E58)</f>
        <v>0.11</v>
      </c>
      <c r="F59" s="52">
        <f>SUM(F58)</f>
        <v>10.11</v>
      </c>
      <c r="G59" s="52">
        <f>SUM(G58)</f>
        <v>46</v>
      </c>
      <c r="H59" s="52">
        <f>SUM(H58)</f>
        <v>2</v>
      </c>
    </row>
    <row r="60" spans="1:8" ht="89.25" thickBot="1">
      <c r="A60" s="185" t="s">
        <v>31</v>
      </c>
      <c r="B60" s="186"/>
      <c r="C60" s="186"/>
      <c r="D60" s="186"/>
      <c r="E60" s="186"/>
      <c r="F60" s="186"/>
      <c r="G60" s="186"/>
      <c r="H60" s="187"/>
    </row>
    <row r="61" spans="1:8" ht="177.75" thickBot="1">
      <c r="A61" s="54">
        <v>12</v>
      </c>
      <c r="B61" s="24" t="s">
        <v>227</v>
      </c>
      <c r="C61" s="34">
        <v>30</v>
      </c>
      <c r="D61" s="52">
        <v>0.47</v>
      </c>
      <c r="E61" s="52">
        <v>3</v>
      </c>
      <c r="F61" s="52">
        <v>3.1</v>
      </c>
      <c r="G61" s="52">
        <v>43.34</v>
      </c>
      <c r="H61" s="52">
        <v>1.34</v>
      </c>
    </row>
    <row r="62" spans="1:8" ht="266.25" thickBot="1">
      <c r="A62" s="47">
        <v>5</v>
      </c>
      <c r="B62" s="24" t="s">
        <v>175</v>
      </c>
      <c r="C62" s="51" t="s">
        <v>27</v>
      </c>
      <c r="D62" s="52">
        <v>2.22</v>
      </c>
      <c r="E62" s="52">
        <v>3.59</v>
      </c>
      <c r="F62" s="52">
        <v>6.25</v>
      </c>
      <c r="G62" s="52">
        <v>72.27</v>
      </c>
      <c r="H62" s="52">
        <v>6.75</v>
      </c>
    </row>
    <row r="63" spans="1:8" ht="177.75" thickBot="1">
      <c r="A63" s="47">
        <v>6</v>
      </c>
      <c r="B63" s="24" t="s">
        <v>74</v>
      </c>
      <c r="C63" s="34">
        <v>60</v>
      </c>
      <c r="D63" s="52">
        <v>8.44</v>
      </c>
      <c r="E63" s="52">
        <v>6.88</v>
      </c>
      <c r="F63" s="52">
        <v>6.13</v>
      </c>
      <c r="G63" s="52">
        <v>119.98</v>
      </c>
      <c r="H63" s="52">
        <v>0.7</v>
      </c>
    </row>
    <row r="64" spans="1:8" ht="89.25" thickBot="1">
      <c r="A64" s="54">
        <v>79</v>
      </c>
      <c r="B64" s="24" t="s">
        <v>262</v>
      </c>
      <c r="C64" s="34">
        <v>115</v>
      </c>
      <c r="D64" s="52">
        <v>2.21</v>
      </c>
      <c r="E64" s="52">
        <v>5.1</v>
      </c>
      <c r="F64" s="52">
        <v>15.45</v>
      </c>
      <c r="G64" s="52">
        <v>116.51</v>
      </c>
      <c r="H64" s="52">
        <v>9.2</v>
      </c>
    </row>
    <row r="65" spans="1:8" ht="354.75" thickBot="1">
      <c r="A65" s="47">
        <v>20</v>
      </c>
      <c r="B65" s="24" t="s">
        <v>232</v>
      </c>
      <c r="C65" s="53" t="s">
        <v>241</v>
      </c>
      <c r="D65" s="52">
        <v>0</v>
      </c>
      <c r="E65" s="52">
        <v>0</v>
      </c>
      <c r="F65" s="52">
        <v>22.71</v>
      </c>
      <c r="G65" s="52">
        <v>87.5</v>
      </c>
      <c r="H65" s="52">
        <v>0</v>
      </c>
    </row>
    <row r="66" spans="1:8" ht="177.75" thickBot="1">
      <c r="A66" s="47" t="s">
        <v>32</v>
      </c>
      <c r="B66" s="24" t="s">
        <v>56</v>
      </c>
      <c r="C66" s="34">
        <v>20</v>
      </c>
      <c r="D66" s="52">
        <v>1.6</v>
      </c>
      <c r="E66" s="52">
        <v>0.2</v>
      </c>
      <c r="F66" s="52">
        <v>9.64</v>
      </c>
      <c r="G66" s="52">
        <v>47.2</v>
      </c>
      <c r="H66" s="52">
        <v>0</v>
      </c>
    </row>
    <row r="67" spans="1:8" ht="177.75" thickBot="1">
      <c r="A67" s="47" t="s">
        <v>32</v>
      </c>
      <c r="B67" s="24" t="s">
        <v>58</v>
      </c>
      <c r="C67" s="34">
        <v>40</v>
      </c>
      <c r="D67" s="52">
        <v>2.24</v>
      </c>
      <c r="E67" s="52">
        <v>0.48</v>
      </c>
      <c r="F67" s="52">
        <v>19.76</v>
      </c>
      <c r="G67" s="52">
        <v>92.8</v>
      </c>
      <c r="H67" s="52">
        <v>0</v>
      </c>
    </row>
    <row r="68" spans="1:8" ht="89.25" thickBot="1">
      <c r="A68" s="42"/>
      <c r="B68" s="24" t="s">
        <v>6</v>
      </c>
      <c r="C68" s="34">
        <f aca="true" t="shared" si="4" ref="C68:H68">C61+C62+C63+C64+C65+C66+C67</f>
        <v>555</v>
      </c>
      <c r="D68" s="52">
        <f t="shared" si="4"/>
        <v>17.18</v>
      </c>
      <c r="E68" s="52">
        <f t="shared" si="4"/>
        <v>19.25</v>
      </c>
      <c r="F68" s="52">
        <f t="shared" si="4"/>
        <v>83.04</v>
      </c>
      <c r="G68" s="52">
        <f t="shared" si="4"/>
        <v>579.6</v>
      </c>
      <c r="H68" s="52">
        <f t="shared" si="4"/>
        <v>17.99</v>
      </c>
    </row>
    <row r="69" spans="1:8" ht="89.25" thickBot="1">
      <c r="A69" s="172" t="s">
        <v>145</v>
      </c>
      <c r="B69" s="173"/>
      <c r="C69" s="173"/>
      <c r="D69" s="173"/>
      <c r="E69" s="173"/>
      <c r="F69" s="173"/>
      <c r="G69" s="173"/>
      <c r="H69" s="174"/>
    </row>
    <row r="70" spans="1:8" ht="266.25" thickBot="1">
      <c r="A70" s="55">
        <v>21.1</v>
      </c>
      <c r="B70" s="56" t="s">
        <v>172</v>
      </c>
      <c r="C70" s="51" t="s">
        <v>27</v>
      </c>
      <c r="D70" s="48">
        <v>4.35</v>
      </c>
      <c r="E70" s="48">
        <v>4.8</v>
      </c>
      <c r="F70" s="48">
        <v>6</v>
      </c>
      <c r="G70" s="48">
        <v>88.5</v>
      </c>
      <c r="H70" s="48">
        <v>1.05</v>
      </c>
    </row>
    <row r="71" spans="1:8" ht="89.25" thickBot="1">
      <c r="A71" s="47">
        <v>36</v>
      </c>
      <c r="B71" s="24" t="s">
        <v>57</v>
      </c>
      <c r="C71" s="51" t="s">
        <v>34</v>
      </c>
      <c r="D71" s="52">
        <v>5.24</v>
      </c>
      <c r="E71" s="52">
        <v>9.52</v>
      </c>
      <c r="F71" s="52">
        <v>29.8</v>
      </c>
      <c r="G71" s="52">
        <v>240</v>
      </c>
      <c r="H71" s="52">
        <v>0.18</v>
      </c>
    </row>
    <row r="72" spans="1:8" ht="89.25" thickBot="1">
      <c r="A72" s="54"/>
      <c r="B72" s="24" t="s">
        <v>29</v>
      </c>
      <c r="C72" s="34">
        <f aca="true" t="shared" si="5" ref="C72:H72">C70+C71</f>
        <v>210</v>
      </c>
      <c r="D72" s="52">
        <f t="shared" si="5"/>
        <v>9.59</v>
      </c>
      <c r="E72" s="52">
        <f t="shared" si="5"/>
        <v>14.32</v>
      </c>
      <c r="F72" s="52">
        <f t="shared" si="5"/>
        <v>35.8</v>
      </c>
      <c r="G72" s="52">
        <f t="shared" si="5"/>
        <v>328.5</v>
      </c>
      <c r="H72" s="52">
        <f t="shared" si="5"/>
        <v>1.23</v>
      </c>
    </row>
    <row r="73" spans="1:8" ht="89.25" thickBot="1">
      <c r="A73" s="185" t="s">
        <v>144</v>
      </c>
      <c r="B73" s="186"/>
      <c r="C73" s="186"/>
      <c r="D73" s="186"/>
      <c r="E73" s="186"/>
      <c r="F73" s="186"/>
      <c r="G73" s="186"/>
      <c r="H73" s="187"/>
    </row>
    <row r="74" spans="1:8" ht="177.75" thickBot="1">
      <c r="A74" s="54">
        <v>37</v>
      </c>
      <c r="B74" s="26" t="s">
        <v>35</v>
      </c>
      <c r="C74" s="34">
        <v>150</v>
      </c>
      <c r="D74" s="48">
        <v>11.73</v>
      </c>
      <c r="E74" s="48">
        <v>12.59</v>
      </c>
      <c r="F74" s="48">
        <v>0.03</v>
      </c>
      <c r="G74" s="48">
        <v>174</v>
      </c>
      <c r="H74" s="48">
        <v>0.95</v>
      </c>
    </row>
    <row r="75" spans="1:8" ht="201.75" customHeight="1" thickBot="1">
      <c r="A75" s="54">
        <v>38</v>
      </c>
      <c r="B75" s="24" t="s">
        <v>269</v>
      </c>
      <c r="C75" s="53" t="s">
        <v>102</v>
      </c>
      <c r="D75" s="52">
        <v>0.77</v>
      </c>
      <c r="E75" s="52">
        <v>0.14</v>
      </c>
      <c r="F75" s="52">
        <v>3.92</v>
      </c>
      <c r="G75" s="52">
        <v>20</v>
      </c>
      <c r="H75" s="52">
        <v>1.68</v>
      </c>
    </row>
    <row r="76" spans="1:8" ht="89.25" thickBot="1">
      <c r="A76" s="54">
        <v>13</v>
      </c>
      <c r="B76" s="50" t="s">
        <v>7</v>
      </c>
      <c r="C76" s="34">
        <v>180</v>
      </c>
      <c r="D76" s="52">
        <v>0</v>
      </c>
      <c r="E76" s="52">
        <v>0</v>
      </c>
      <c r="F76" s="52">
        <v>10.78</v>
      </c>
      <c r="G76" s="52">
        <v>36</v>
      </c>
      <c r="H76" s="52">
        <v>0</v>
      </c>
    </row>
    <row r="77" spans="1:8" ht="177.75" thickBot="1">
      <c r="A77" s="47">
        <v>69</v>
      </c>
      <c r="B77" s="24" t="s">
        <v>106</v>
      </c>
      <c r="C77" s="51" t="s">
        <v>253</v>
      </c>
      <c r="D77" s="52">
        <v>0.34</v>
      </c>
      <c r="E77" s="52">
        <v>0.34</v>
      </c>
      <c r="F77" s="52">
        <v>8.33</v>
      </c>
      <c r="G77" s="52">
        <v>39.95</v>
      </c>
      <c r="H77" s="52">
        <v>8.5</v>
      </c>
    </row>
    <row r="78" spans="1:8" ht="177.75" thickBot="1">
      <c r="A78" s="47" t="s">
        <v>32</v>
      </c>
      <c r="B78" s="24" t="s">
        <v>56</v>
      </c>
      <c r="C78" s="34">
        <v>15</v>
      </c>
      <c r="D78" s="52">
        <v>1.2</v>
      </c>
      <c r="E78" s="52">
        <v>0.15</v>
      </c>
      <c r="F78" s="52">
        <v>7.23</v>
      </c>
      <c r="G78" s="52">
        <v>35.4</v>
      </c>
      <c r="H78" s="52">
        <v>0</v>
      </c>
    </row>
    <row r="79" spans="1:8" ht="89.25" thickBot="1">
      <c r="A79" s="42"/>
      <c r="B79" s="24" t="s">
        <v>6</v>
      </c>
      <c r="C79" s="34">
        <f aca="true" t="shared" si="6" ref="C79:H79">C74+C75+C76+C77+C78</f>
        <v>465</v>
      </c>
      <c r="D79" s="52">
        <f t="shared" si="6"/>
        <v>14.04</v>
      </c>
      <c r="E79" s="52">
        <f t="shared" si="6"/>
        <v>13.22</v>
      </c>
      <c r="F79" s="52">
        <f t="shared" si="6"/>
        <v>30.29</v>
      </c>
      <c r="G79" s="52">
        <f t="shared" si="6"/>
        <v>305.34999999999997</v>
      </c>
      <c r="H79" s="52">
        <f t="shared" si="6"/>
        <v>11.129999999999999</v>
      </c>
    </row>
    <row r="80" spans="1:8" ht="89.25" thickBot="1">
      <c r="A80" s="47"/>
      <c r="B80" s="24"/>
      <c r="C80" s="34"/>
      <c r="D80" s="40" t="s">
        <v>0</v>
      </c>
      <c r="E80" s="41" t="s">
        <v>1</v>
      </c>
      <c r="F80" s="41" t="s">
        <v>2</v>
      </c>
      <c r="G80" s="149" t="s">
        <v>3</v>
      </c>
      <c r="H80" s="41" t="s">
        <v>4</v>
      </c>
    </row>
    <row r="81" spans="1:8" ht="89.25" thickBot="1">
      <c r="A81" s="47"/>
      <c r="B81" s="58" t="s">
        <v>10</v>
      </c>
      <c r="C81" s="51"/>
      <c r="D81" s="52">
        <f>D56+D59+D68+D72+D79</f>
        <v>51.13</v>
      </c>
      <c r="E81" s="52">
        <f>E56+E59+E68+E72+E79</f>
        <v>55.92</v>
      </c>
      <c r="F81" s="52">
        <f>F56+F59+F68+F72+F79</f>
        <v>212.65</v>
      </c>
      <c r="G81" s="52">
        <f>G56+G59+G68+G72+G79</f>
        <v>1591.4499999999998</v>
      </c>
      <c r="H81" s="52">
        <f>H56+H59+H68+H72+H79</f>
        <v>35.01</v>
      </c>
    </row>
    <row r="82" spans="1:8" ht="131.25" customHeight="1" thickBot="1">
      <c r="A82" s="47"/>
      <c r="B82" s="58" t="s">
        <v>11</v>
      </c>
      <c r="C82" s="51"/>
      <c r="D82" s="52">
        <v>42</v>
      </c>
      <c r="E82" s="52">
        <v>47</v>
      </c>
      <c r="F82" s="52">
        <v>203</v>
      </c>
      <c r="G82" s="52">
        <v>1400</v>
      </c>
      <c r="H82" s="52">
        <v>45</v>
      </c>
    </row>
    <row r="83" spans="1:8" s="46" customFormat="1" ht="205.5" customHeight="1" thickBot="1">
      <c r="A83" s="42"/>
      <c r="B83" s="59" t="s">
        <v>12</v>
      </c>
      <c r="C83" s="41"/>
      <c r="D83" s="60">
        <f>D81*100/D82</f>
        <v>121.73809523809524</v>
      </c>
      <c r="E83" s="60">
        <f>E81*100/E82</f>
        <v>118.97872340425532</v>
      </c>
      <c r="F83" s="60">
        <f>F81*100/F82</f>
        <v>104.75369458128078</v>
      </c>
      <c r="G83" s="60">
        <f>G81*100/G82</f>
        <v>113.67499999999998</v>
      </c>
      <c r="H83" s="60">
        <f>H81*100/H82</f>
        <v>77.8</v>
      </c>
    </row>
    <row r="84" spans="1:8" s="46" customFormat="1" ht="88.5">
      <c r="A84" s="61"/>
      <c r="B84" s="147"/>
      <c r="C84" s="146"/>
      <c r="D84" s="62"/>
      <c r="E84" s="62"/>
      <c r="F84" s="62"/>
      <c r="G84" s="62"/>
      <c r="H84" s="62"/>
    </row>
    <row r="85" spans="1:8" s="46" customFormat="1" ht="88.5">
      <c r="A85" s="61"/>
      <c r="B85" s="38" t="s">
        <v>68</v>
      </c>
      <c r="C85" s="38"/>
      <c r="D85" s="38"/>
      <c r="E85" s="62"/>
      <c r="F85" s="62"/>
      <c r="G85" s="62"/>
      <c r="H85" s="62"/>
    </row>
    <row r="86" spans="1:8" s="46" customFormat="1" ht="102">
      <c r="A86" s="61"/>
      <c r="B86" s="38" t="s">
        <v>271</v>
      </c>
      <c r="C86" s="39"/>
      <c r="D86" s="38"/>
      <c r="E86" s="38"/>
      <c r="F86" s="38"/>
      <c r="G86" s="38"/>
      <c r="H86" s="38"/>
    </row>
    <row r="87" spans="1:8" s="46" customFormat="1" ht="88.5">
      <c r="A87" s="61"/>
      <c r="B87" s="38" t="s">
        <v>67</v>
      </c>
      <c r="C87" s="39"/>
      <c r="D87" s="38"/>
      <c r="E87" s="38"/>
      <c r="F87" s="38"/>
      <c r="G87" s="38"/>
      <c r="H87" s="38"/>
    </row>
    <row r="88" spans="1:8" s="46" customFormat="1" ht="88.5">
      <c r="A88" s="61"/>
      <c r="B88" s="38" t="s">
        <v>149</v>
      </c>
      <c r="C88" s="39"/>
      <c r="D88" s="38"/>
      <c r="E88" s="38"/>
      <c r="F88" s="38"/>
      <c r="G88" s="38"/>
      <c r="H88" s="38"/>
    </row>
    <row r="89" spans="1:8" s="46" customFormat="1" ht="88.5">
      <c r="A89" s="175" t="s">
        <v>183</v>
      </c>
      <c r="B89" s="175"/>
      <c r="C89" s="175"/>
      <c r="D89" s="175"/>
      <c r="E89" s="175"/>
      <c r="F89" s="175"/>
      <c r="G89" s="175"/>
      <c r="H89" s="175"/>
    </row>
    <row r="90" spans="1:8" s="46" customFormat="1" ht="88.5">
      <c r="A90" s="175" t="s">
        <v>48</v>
      </c>
      <c r="B90" s="175"/>
      <c r="C90" s="175"/>
      <c r="D90" s="175"/>
      <c r="E90" s="175"/>
      <c r="F90" s="175"/>
      <c r="G90" s="175"/>
      <c r="H90" s="175"/>
    </row>
    <row r="91" spans="1:8" ht="88.5">
      <c r="A91" s="176" t="s">
        <v>64</v>
      </c>
      <c r="B91" s="176"/>
      <c r="C91" s="176"/>
      <c r="D91" s="176"/>
      <c r="E91" s="176"/>
      <c r="F91" s="176"/>
      <c r="G91" s="176"/>
      <c r="H91" s="176"/>
    </row>
    <row r="92" spans="1:8" ht="89.25" thickBot="1">
      <c r="A92" s="177"/>
      <c r="B92" s="177"/>
      <c r="C92" s="177"/>
      <c r="D92" s="177"/>
      <c r="E92" s="177"/>
      <c r="F92" s="177"/>
      <c r="G92" s="177"/>
      <c r="H92" s="177"/>
    </row>
    <row r="93" spans="1:8" ht="89.25" thickBot="1">
      <c r="A93" s="178" t="s">
        <v>30</v>
      </c>
      <c r="B93" s="180" t="s">
        <v>50</v>
      </c>
      <c r="C93" s="183" t="s">
        <v>111</v>
      </c>
      <c r="D93" s="172" t="s">
        <v>24</v>
      </c>
      <c r="E93" s="173"/>
      <c r="F93" s="174"/>
      <c r="G93" s="180" t="s">
        <v>51</v>
      </c>
      <c r="H93" s="180" t="s">
        <v>112</v>
      </c>
    </row>
    <row r="94" spans="1:8" ht="89.25" thickBot="1">
      <c r="A94" s="179"/>
      <c r="B94" s="181"/>
      <c r="C94" s="184"/>
      <c r="D94" s="40" t="s">
        <v>0</v>
      </c>
      <c r="E94" s="41" t="s">
        <v>1</v>
      </c>
      <c r="F94" s="41" t="s">
        <v>2</v>
      </c>
      <c r="G94" s="181"/>
      <c r="H94" s="181"/>
    </row>
    <row r="95" spans="1:8" ht="89.25" thickBot="1">
      <c r="A95" s="148">
        <v>1</v>
      </c>
      <c r="B95" s="43">
        <v>2</v>
      </c>
      <c r="C95" s="44">
        <v>3</v>
      </c>
      <c r="D95" s="63">
        <v>4</v>
      </c>
      <c r="E95" s="43">
        <v>5</v>
      </c>
      <c r="F95" s="43">
        <v>6</v>
      </c>
      <c r="G95" s="43">
        <v>7</v>
      </c>
      <c r="H95" s="43">
        <v>8</v>
      </c>
    </row>
    <row r="96" spans="1:8" ht="89.25" thickBot="1">
      <c r="A96" s="172" t="s">
        <v>5</v>
      </c>
      <c r="B96" s="173"/>
      <c r="C96" s="173"/>
      <c r="D96" s="173"/>
      <c r="E96" s="173"/>
      <c r="F96" s="173"/>
      <c r="G96" s="173"/>
      <c r="H96" s="174"/>
    </row>
    <row r="97" spans="1:8" ht="177.75" thickBot="1">
      <c r="A97" s="54">
        <v>32</v>
      </c>
      <c r="B97" s="26" t="s">
        <v>218</v>
      </c>
      <c r="C97" s="34">
        <v>150</v>
      </c>
      <c r="D97" s="48">
        <v>4.67</v>
      </c>
      <c r="E97" s="48">
        <v>5.2</v>
      </c>
      <c r="F97" s="48">
        <v>19.72</v>
      </c>
      <c r="G97" s="48">
        <v>144</v>
      </c>
      <c r="H97" s="48">
        <v>1.47</v>
      </c>
    </row>
    <row r="98" spans="1:8" ht="177.75" thickBot="1">
      <c r="A98" s="47">
        <v>2</v>
      </c>
      <c r="B98" s="24" t="s">
        <v>69</v>
      </c>
      <c r="C98" s="34">
        <v>180</v>
      </c>
      <c r="D98" s="48">
        <v>2.92</v>
      </c>
      <c r="E98" s="48">
        <v>3.08</v>
      </c>
      <c r="F98" s="48">
        <v>12.41</v>
      </c>
      <c r="G98" s="48">
        <v>86</v>
      </c>
      <c r="H98" s="48">
        <v>1.17</v>
      </c>
    </row>
    <row r="99" spans="1:8" ht="177.75" thickBot="1">
      <c r="A99" s="47">
        <v>3</v>
      </c>
      <c r="B99" s="24" t="s">
        <v>38</v>
      </c>
      <c r="C99" s="51" t="s">
        <v>259</v>
      </c>
      <c r="D99" s="52">
        <v>3.42</v>
      </c>
      <c r="E99" s="52">
        <v>6.09</v>
      </c>
      <c r="F99" s="52">
        <v>9.9</v>
      </c>
      <c r="G99" s="52">
        <v>108</v>
      </c>
      <c r="H99" s="52">
        <v>0.06</v>
      </c>
    </row>
    <row r="100" spans="1:8" ht="89.25" thickBot="1">
      <c r="A100" s="47"/>
      <c r="B100" s="24" t="s">
        <v>6</v>
      </c>
      <c r="C100" s="34">
        <f>C97+C98+C99</f>
        <v>363</v>
      </c>
      <c r="D100" s="52">
        <f>SUM(D97:D99)</f>
        <v>11.01</v>
      </c>
      <c r="E100" s="52">
        <f>SUM(E97:E99)</f>
        <v>14.370000000000001</v>
      </c>
      <c r="F100" s="52">
        <f>SUM(F97:F99)</f>
        <v>42.029999999999994</v>
      </c>
      <c r="G100" s="52">
        <f>SUM(G97:G99)</f>
        <v>338</v>
      </c>
      <c r="H100" s="52">
        <f>SUM(H97:H99)</f>
        <v>2.6999999999999997</v>
      </c>
    </row>
    <row r="101" spans="1:8" ht="89.25" thickBot="1">
      <c r="A101" s="172" t="s">
        <v>53</v>
      </c>
      <c r="B101" s="173"/>
      <c r="C101" s="173"/>
      <c r="D101" s="173"/>
      <c r="E101" s="173"/>
      <c r="F101" s="173"/>
      <c r="G101" s="173"/>
      <c r="H101" s="174"/>
    </row>
    <row r="102" spans="1:8" ht="89.25" thickBot="1">
      <c r="A102" s="47" t="s">
        <v>32</v>
      </c>
      <c r="B102" s="24" t="s">
        <v>182</v>
      </c>
      <c r="C102" s="53" t="s">
        <v>26</v>
      </c>
      <c r="D102" s="52">
        <v>0.2</v>
      </c>
      <c r="E102" s="52">
        <v>0.11</v>
      </c>
      <c r="F102" s="52">
        <v>10.11</v>
      </c>
      <c r="G102" s="52">
        <v>46</v>
      </c>
      <c r="H102" s="52">
        <v>2</v>
      </c>
    </row>
    <row r="103" spans="1:8" ht="89.25" thickBot="1">
      <c r="A103" s="47"/>
      <c r="B103" s="24" t="s">
        <v>6</v>
      </c>
      <c r="C103" s="51" t="s">
        <v>26</v>
      </c>
      <c r="D103" s="52">
        <f>SUM(D102)</f>
        <v>0.2</v>
      </c>
      <c r="E103" s="52">
        <f>SUM(E102)</f>
        <v>0.11</v>
      </c>
      <c r="F103" s="52">
        <f>SUM(F102)</f>
        <v>10.11</v>
      </c>
      <c r="G103" s="52">
        <f>SUM(G102)</f>
        <v>46</v>
      </c>
      <c r="H103" s="52">
        <f>SUM(H102)</f>
        <v>2</v>
      </c>
    </row>
    <row r="104" spans="1:8" ht="89.25" thickBot="1">
      <c r="A104" s="185" t="s">
        <v>31</v>
      </c>
      <c r="B104" s="186"/>
      <c r="C104" s="186"/>
      <c r="D104" s="186"/>
      <c r="E104" s="186"/>
      <c r="F104" s="186"/>
      <c r="G104" s="186"/>
      <c r="H104" s="187"/>
    </row>
    <row r="105" spans="1:8" ht="123" customHeight="1" thickBot="1">
      <c r="A105" s="54">
        <v>88</v>
      </c>
      <c r="B105" s="127" t="s">
        <v>213</v>
      </c>
      <c r="C105" s="53" t="s">
        <v>155</v>
      </c>
      <c r="D105" s="52">
        <v>0.27</v>
      </c>
      <c r="E105" s="52">
        <v>2.54</v>
      </c>
      <c r="F105" s="52">
        <v>0.45</v>
      </c>
      <c r="G105" s="52">
        <v>37</v>
      </c>
      <c r="H105" s="52">
        <v>0.96</v>
      </c>
    </row>
    <row r="106" spans="1:8" ht="260.25" customHeight="1" thickBot="1">
      <c r="A106" s="47">
        <v>52</v>
      </c>
      <c r="B106" s="24" t="s">
        <v>211</v>
      </c>
      <c r="C106" s="53" t="s">
        <v>27</v>
      </c>
      <c r="D106" s="52">
        <v>5.48</v>
      </c>
      <c r="E106" s="52">
        <v>3.35</v>
      </c>
      <c r="F106" s="52">
        <v>15.05</v>
      </c>
      <c r="G106" s="52">
        <v>109.5</v>
      </c>
      <c r="H106" s="52">
        <v>4.93</v>
      </c>
    </row>
    <row r="107" spans="1:8" ht="210" customHeight="1" thickBot="1">
      <c r="A107" s="64">
        <v>64</v>
      </c>
      <c r="B107" s="65" t="s">
        <v>179</v>
      </c>
      <c r="C107" s="66">
        <v>60</v>
      </c>
      <c r="D107" s="67">
        <v>7.69</v>
      </c>
      <c r="E107" s="67">
        <v>8.14</v>
      </c>
      <c r="F107" s="67">
        <v>6.26</v>
      </c>
      <c r="G107" s="67">
        <v>129</v>
      </c>
      <c r="H107" s="67">
        <v>0.67</v>
      </c>
    </row>
    <row r="108" spans="1:8" ht="120" customHeight="1" thickBot="1">
      <c r="A108" s="47">
        <v>7</v>
      </c>
      <c r="B108" s="65" t="s">
        <v>66</v>
      </c>
      <c r="C108" s="34">
        <v>20</v>
      </c>
      <c r="D108" s="52">
        <v>0.28</v>
      </c>
      <c r="E108" s="52">
        <v>0.78</v>
      </c>
      <c r="F108" s="52">
        <v>1.24</v>
      </c>
      <c r="G108" s="52">
        <v>12.4</v>
      </c>
      <c r="H108" s="52">
        <v>0</v>
      </c>
    </row>
    <row r="109" spans="1:8" ht="120" customHeight="1" thickBot="1">
      <c r="A109" s="47">
        <v>63</v>
      </c>
      <c r="B109" s="24" t="s">
        <v>147</v>
      </c>
      <c r="C109" s="34">
        <v>150</v>
      </c>
      <c r="D109" s="52">
        <v>12</v>
      </c>
      <c r="E109" s="52">
        <v>4.71</v>
      </c>
      <c r="F109" s="52">
        <v>30.75</v>
      </c>
      <c r="G109" s="52">
        <v>238.5</v>
      </c>
      <c r="H109" s="52">
        <v>0</v>
      </c>
    </row>
    <row r="110" spans="1:8" ht="112.5" customHeight="1" thickBot="1">
      <c r="A110" s="54">
        <v>54</v>
      </c>
      <c r="B110" s="50" t="s">
        <v>154</v>
      </c>
      <c r="C110" s="53" t="s">
        <v>27</v>
      </c>
      <c r="D110" s="52">
        <v>0.12</v>
      </c>
      <c r="E110" s="52">
        <v>0.12</v>
      </c>
      <c r="F110" s="52">
        <v>12.67</v>
      </c>
      <c r="G110" s="52">
        <v>53.25</v>
      </c>
      <c r="H110" s="52">
        <v>3</v>
      </c>
    </row>
    <row r="111" spans="1:8" ht="177.75" thickBot="1">
      <c r="A111" s="47" t="s">
        <v>32</v>
      </c>
      <c r="B111" s="24" t="s">
        <v>56</v>
      </c>
      <c r="C111" s="34">
        <v>20</v>
      </c>
      <c r="D111" s="52">
        <v>1.6</v>
      </c>
      <c r="E111" s="52">
        <v>0.2</v>
      </c>
      <c r="F111" s="52">
        <v>9.64</v>
      </c>
      <c r="G111" s="52">
        <v>47.2</v>
      </c>
      <c r="H111" s="52">
        <v>0</v>
      </c>
    </row>
    <row r="112" spans="1:8" ht="177.75" thickBot="1">
      <c r="A112" s="47" t="s">
        <v>32</v>
      </c>
      <c r="B112" s="24" t="s">
        <v>58</v>
      </c>
      <c r="C112" s="34">
        <v>40</v>
      </c>
      <c r="D112" s="52">
        <v>2.24</v>
      </c>
      <c r="E112" s="52">
        <v>0.48</v>
      </c>
      <c r="F112" s="52">
        <v>19.76</v>
      </c>
      <c r="G112" s="52">
        <v>92.8</v>
      </c>
      <c r="H112" s="52">
        <v>0</v>
      </c>
    </row>
    <row r="113" spans="1:8" ht="89.25" thickBot="1">
      <c r="A113" s="47"/>
      <c r="B113" s="24" t="s">
        <v>6</v>
      </c>
      <c r="C113" s="34">
        <f aca="true" t="shared" si="7" ref="C113:H113">C105+C106+C107+C108+C109+C110+C111+C112</f>
        <v>620</v>
      </c>
      <c r="D113" s="52">
        <f t="shared" si="7"/>
        <v>29.68</v>
      </c>
      <c r="E113" s="52">
        <f t="shared" si="7"/>
        <v>20.32</v>
      </c>
      <c r="F113" s="52">
        <f t="shared" si="7"/>
        <v>95.82000000000001</v>
      </c>
      <c r="G113" s="52">
        <f t="shared" si="7"/>
        <v>719.65</v>
      </c>
      <c r="H113" s="52">
        <f t="shared" si="7"/>
        <v>9.559999999999999</v>
      </c>
    </row>
    <row r="114" spans="1:8" ht="89.25" thickBot="1">
      <c r="A114" s="172" t="s">
        <v>145</v>
      </c>
      <c r="B114" s="173"/>
      <c r="C114" s="173"/>
      <c r="D114" s="173"/>
      <c r="E114" s="173"/>
      <c r="F114" s="173"/>
      <c r="G114" s="173"/>
      <c r="H114" s="174"/>
    </row>
    <row r="115" spans="1:8" ht="166.5" customHeight="1" thickBot="1">
      <c r="A115" s="55">
        <v>21.1</v>
      </c>
      <c r="B115" s="56" t="s">
        <v>172</v>
      </c>
      <c r="C115" s="51" t="s">
        <v>27</v>
      </c>
      <c r="D115" s="48">
        <v>4.35</v>
      </c>
      <c r="E115" s="48">
        <v>4.8</v>
      </c>
      <c r="F115" s="48">
        <v>6</v>
      </c>
      <c r="G115" s="48">
        <v>88.5</v>
      </c>
      <c r="H115" s="48">
        <v>1.05</v>
      </c>
    </row>
    <row r="116" spans="1:8" ht="177.75" thickBot="1">
      <c r="A116" s="47">
        <v>55</v>
      </c>
      <c r="B116" s="24" t="s">
        <v>248</v>
      </c>
      <c r="C116" s="51" t="s">
        <v>34</v>
      </c>
      <c r="D116" s="52">
        <v>9.7</v>
      </c>
      <c r="E116" s="52">
        <v>6.44</v>
      </c>
      <c r="F116" s="52">
        <v>17.46</v>
      </c>
      <c r="G116" s="52">
        <v>170</v>
      </c>
      <c r="H116" s="52">
        <v>0.16</v>
      </c>
    </row>
    <row r="117" spans="1:8" ht="89.25" thickBot="1">
      <c r="A117" s="54"/>
      <c r="B117" s="24" t="s">
        <v>29</v>
      </c>
      <c r="C117" s="34">
        <f aca="true" t="shared" si="8" ref="C117:H117">C115+C116</f>
        <v>210</v>
      </c>
      <c r="D117" s="52">
        <f t="shared" si="8"/>
        <v>14.049999999999999</v>
      </c>
      <c r="E117" s="52">
        <f t="shared" si="8"/>
        <v>11.24</v>
      </c>
      <c r="F117" s="52">
        <f t="shared" si="8"/>
        <v>23.46</v>
      </c>
      <c r="G117" s="52">
        <f t="shared" si="8"/>
        <v>258.5</v>
      </c>
      <c r="H117" s="52">
        <f t="shared" si="8"/>
        <v>1.21</v>
      </c>
    </row>
    <row r="118" spans="1:8" ht="89.25" thickBot="1">
      <c r="A118" s="185" t="s">
        <v>144</v>
      </c>
      <c r="B118" s="186"/>
      <c r="C118" s="186"/>
      <c r="D118" s="186"/>
      <c r="E118" s="186"/>
      <c r="F118" s="186"/>
      <c r="G118" s="186"/>
      <c r="H118" s="187"/>
    </row>
    <row r="119" spans="1:8" ht="177.75" thickBot="1">
      <c r="A119" s="54">
        <v>71</v>
      </c>
      <c r="B119" s="26" t="s">
        <v>261</v>
      </c>
      <c r="C119" s="34">
        <v>120</v>
      </c>
      <c r="D119" s="48">
        <v>13.15</v>
      </c>
      <c r="E119" s="48">
        <v>2.82</v>
      </c>
      <c r="F119" s="48">
        <v>4.23</v>
      </c>
      <c r="G119" s="48">
        <v>94</v>
      </c>
      <c r="H119" s="48">
        <v>1.51</v>
      </c>
    </row>
    <row r="120" spans="1:8" ht="89.25" thickBot="1">
      <c r="A120" s="54">
        <v>8</v>
      </c>
      <c r="B120" s="24" t="s">
        <v>37</v>
      </c>
      <c r="C120" s="34">
        <v>115</v>
      </c>
      <c r="D120" s="52">
        <v>2.33</v>
      </c>
      <c r="E120" s="52">
        <v>4.01</v>
      </c>
      <c r="F120" s="52">
        <v>13.85</v>
      </c>
      <c r="G120" s="52">
        <v>108.87</v>
      </c>
      <c r="H120" s="52">
        <v>8.05</v>
      </c>
    </row>
    <row r="121" spans="1:8" ht="89.25" thickBot="1">
      <c r="A121" s="49">
        <v>31</v>
      </c>
      <c r="B121" s="50" t="s">
        <v>9</v>
      </c>
      <c r="C121" s="34">
        <v>180</v>
      </c>
      <c r="D121" s="48">
        <v>0.05</v>
      </c>
      <c r="E121" s="48">
        <v>0</v>
      </c>
      <c r="F121" s="48">
        <v>10.92</v>
      </c>
      <c r="G121" s="48">
        <v>42</v>
      </c>
      <c r="H121" s="48">
        <v>1.92</v>
      </c>
    </row>
    <row r="122" spans="1:8" ht="177.75" thickBot="1">
      <c r="A122" s="47">
        <v>69</v>
      </c>
      <c r="B122" s="24" t="s">
        <v>106</v>
      </c>
      <c r="C122" s="51" t="s">
        <v>253</v>
      </c>
      <c r="D122" s="52">
        <v>0.34</v>
      </c>
      <c r="E122" s="52">
        <v>0.34</v>
      </c>
      <c r="F122" s="52">
        <v>8.33</v>
      </c>
      <c r="G122" s="52">
        <v>39.95</v>
      </c>
      <c r="H122" s="52">
        <v>8.5</v>
      </c>
    </row>
    <row r="123" spans="1:8" ht="177.75" thickBot="1">
      <c r="A123" s="47" t="s">
        <v>32</v>
      </c>
      <c r="B123" s="24" t="s">
        <v>56</v>
      </c>
      <c r="C123" s="34">
        <v>15</v>
      </c>
      <c r="D123" s="52">
        <v>1.2</v>
      </c>
      <c r="E123" s="52">
        <v>0.15</v>
      </c>
      <c r="F123" s="52">
        <v>7.23</v>
      </c>
      <c r="G123" s="52">
        <v>35.4</v>
      </c>
      <c r="H123" s="52">
        <v>0</v>
      </c>
    </row>
    <row r="124" spans="1:8" ht="89.25" thickBot="1">
      <c r="A124" s="47"/>
      <c r="B124" s="24" t="s">
        <v>6</v>
      </c>
      <c r="C124" s="34">
        <f aca="true" t="shared" si="9" ref="C124:H124">C119+C120+C121+C122+C123</f>
        <v>515</v>
      </c>
      <c r="D124" s="60">
        <f t="shared" si="9"/>
        <v>17.07</v>
      </c>
      <c r="E124" s="60">
        <f t="shared" si="9"/>
        <v>7.32</v>
      </c>
      <c r="F124" s="60">
        <f t="shared" si="9"/>
        <v>44.56</v>
      </c>
      <c r="G124" s="60">
        <f t="shared" si="9"/>
        <v>320.21999999999997</v>
      </c>
      <c r="H124" s="60">
        <f t="shared" si="9"/>
        <v>19.98</v>
      </c>
    </row>
    <row r="125" spans="1:8" ht="89.25" thickBot="1">
      <c r="A125" s="47"/>
      <c r="B125" s="24"/>
      <c r="C125" s="51"/>
      <c r="D125" s="40" t="s">
        <v>0</v>
      </c>
      <c r="E125" s="41" t="s">
        <v>1</v>
      </c>
      <c r="F125" s="41" t="s">
        <v>2</v>
      </c>
      <c r="G125" s="149" t="s">
        <v>3</v>
      </c>
      <c r="H125" s="41" t="s">
        <v>4</v>
      </c>
    </row>
    <row r="126" spans="1:8" ht="89.25" thickBot="1">
      <c r="A126" s="47"/>
      <c r="B126" s="58" t="s">
        <v>10</v>
      </c>
      <c r="C126" s="51"/>
      <c r="D126" s="52">
        <f>D100+D103+D113+D117+D124</f>
        <v>72.00999999999999</v>
      </c>
      <c r="E126" s="52">
        <f>E100+E103+E113+E117+E124</f>
        <v>53.36</v>
      </c>
      <c r="F126" s="52">
        <f>F100+F103+F113+F117+F124</f>
        <v>215.98000000000002</v>
      </c>
      <c r="G126" s="52">
        <f>G100+G103+G113+G117+G124</f>
        <v>1682.3700000000001</v>
      </c>
      <c r="H126" s="52">
        <f>H100+H103+H113+H117+H124</f>
        <v>35.45</v>
      </c>
    </row>
    <row r="127" spans="1:8" ht="111" customHeight="1" thickBot="1">
      <c r="A127" s="47"/>
      <c r="B127" s="58" t="s">
        <v>11</v>
      </c>
      <c r="C127" s="51"/>
      <c r="D127" s="52">
        <v>42</v>
      </c>
      <c r="E127" s="52">
        <v>47</v>
      </c>
      <c r="F127" s="52">
        <v>203</v>
      </c>
      <c r="G127" s="52">
        <v>1400</v>
      </c>
      <c r="H127" s="52">
        <v>45</v>
      </c>
    </row>
    <row r="128" spans="1:8" ht="180" customHeight="1" thickBot="1">
      <c r="A128" s="42"/>
      <c r="B128" s="59" t="s">
        <v>12</v>
      </c>
      <c r="C128" s="41"/>
      <c r="D128" s="60">
        <f>D126*100/D127</f>
        <v>171.45238095238093</v>
      </c>
      <c r="E128" s="60">
        <f>E126*100/E127</f>
        <v>113.53191489361703</v>
      </c>
      <c r="F128" s="60">
        <f>F126*100/F127</f>
        <v>106.39408866995073</v>
      </c>
      <c r="G128" s="60">
        <f>G126*100/G127</f>
        <v>120.16928571428572</v>
      </c>
      <c r="H128" s="60">
        <f>H126*100/H127</f>
        <v>78.77777777777779</v>
      </c>
    </row>
    <row r="129" spans="1:8" ht="88.5">
      <c r="A129" s="61"/>
      <c r="B129" s="147"/>
      <c r="C129" s="146"/>
      <c r="D129" s="62"/>
      <c r="E129" s="62"/>
      <c r="F129" s="62"/>
      <c r="G129" s="62"/>
      <c r="H129" s="62"/>
    </row>
    <row r="130" spans="1:8" ht="88.5">
      <c r="A130" s="61"/>
      <c r="B130" s="38" t="s">
        <v>68</v>
      </c>
      <c r="C130" s="38"/>
      <c r="E130" s="62"/>
      <c r="F130" s="62"/>
      <c r="G130" s="62"/>
      <c r="H130" s="62"/>
    </row>
    <row r="131" spans="1:2" ht="102">
      <c r="A131" s="61"/>
      <c r="B131" s="38" t="s">
        <v>271</v>
      </c>
    </row>
    <row r="132" spans="1:2" ht="88.5">
      <c r="A132" s="61"/>
      <c r="B132" s="38" t="s">
        <v>67</v>
      </c>
    </row>
    <row r="133" spans="1:2" ht="88.5">
      <c r="A133" s="61"/>
      <c r="B133" s="38" t="s">
        <v>149</v>
      </c>
    </row>
    <row r="134" spans="1:8" ht="88.5">
      <c r="A134" s="61"/>
      <c r="B134" s="147"/>
      <c r="C134" s="146"/>
      <c r="D134" s="62"/>
      <c r="E134" s="62"/>
      <c r="F134" s="62"/>
      <c r="G134" s="62"/>
      <c r="H134" s="62"/>
    </row>
    <row r="135" spans="1:8" ht="88.5">
      <c r="A135" s="175" t="s">
        <v>191</v>
      </c>
      <c r="B135" s="175"/>
      <c r="C135" s="175"/>
      <c r="D135" s="175"/>
      <c r="E135" s="175"/>
      <c r="F135" s="175"/>
      <c r="G135" s="175"/>
      <c r="H135" s="175"/>
    </row>
    <row r="136" spans="1:8" ht="88.5">
      <c r="A136" s="175" t="s">
        <v>48</v>
      </c>
      <c r="B136" s="175"/>
      <c r="C136" s="175"/>
      <c r="D136" s="175"/>
      <c r="E136" s="175"/>
      <c r="F136" s="175"/>
      <c r="G136" s="175"/>
      <c r="H136" s="175"/>
    </row>
    <row r="137" spans="1:8" ht="88.5">
      <c r="A137" s="176" t="s">
        <v>64</v>
      </c>
      <c r="B137" s="176"/>
      <c r="C137" s="176"/>
      <c r="D137" s="176"/>
      <c r="E137" s="176"/>
      <c r="F137" s="176"/>
      <c r="G137" s="176"/>
      <c r="H137" s="176"/>
    </row>
    <row r="138" spans="1:8" ht="89.25" thickBot="1">
      <c r="A138" s="177"/>
      <c r="B138" s="177"/>
      <c r="C138" s="177"/>
      <c r="D138" s="177"/>
      <c r="E138" s="177"/>
      <c r="F138" s="177"/>
      <c r="G138" s="177"/>
      <c r="H138" s="177"/>
    </row>
    <row r="139" spans="1:8" ht="89.25" thickBot="1">
      <c r="A139" s="178" t="s">
        <v>30</v>
      </c>
      <c r="B139" s="180" t="s">
        <v>50</v>
      </c>
      <c r="C139" s="183" t="s">
        <v>111</v>
      </c>
      <c r="D139" s="172" t="s">
        <v>24</v>
      </c>
      <c r="E139" s="173"/>
      <c r="F139" s="174"/>
      <c r="G139" s="180" t="s">
        <v>51</v>
      </c>
      <c r="H139" s="180" t="s">
        <v>112</v>
      </c>
    </row>
    <row r="140" spans="1:8" ht="89.25" thickBot="1">
      <c r="A140" s="179"/>
      <c r="B140" s="181"/>
      <c r="C140" s="184"/>
      <c r="D140" s="40" t="s">
        <v>0</v>
      </c>
      <c r="E140" s="41" t="s">
        <v>1</v>
      </c>
      <c r="F140" s="41" t="s">
        <v>2</v>
      </c>
      <c r="G140" s="181"/>
      <c r="H140" s="181"/>
    </row>
    <row r="141" spans="1:8" ht="89.25" thickBot="1">
      <c r="A141" s="148">
        <v>1</v>
      </c>
      <c r="B141" s="43">
        <v>2</v>
      </c>
      <c r="C141" s="44">
        <v>3</v>
      </c>
      <c r="D141" s="63">
        <v>4</v>
      </c>
      <c r="E141" s="43">
        <v>5</v>
      </c>
      <c r="F141" s="43">
        <v>6</v>
      </c>
      <c r="G141" s="43">
        <v>7</v>
      </c>
      <c r="H141" s="43">
        <v>8</v>
      </c>
    </row>
    <row r="142" spans="1:8" ht="89.25" thickBot="1">
      <c r="A142" s="172" t="s">
        <v>5</v>
      </c>
      <c r="B142" s="173"/>
      <c r="C142" s="173"/>
      <c r="D142" s="173"/>
      <c r="E142" s="173"/>
      <c r="F142" s="173"/>
      <c r="G142" s="173"/>
      <c r="H142" s="174"/>
    </row>
    <row r="143" spans="1:8" ht="266.25" thickBot="1">
      <c r="A143" s="64">
        <v>39</v>
      </c>
      <c r="B143" s="65" t="s">
        <v>20</v>
      </c>
      <c r="C143" s="66">
        <v>150</v>
      </c>
      <c r="D143" s="67">
        <v>4.6</v>
      </c>
      <c r="E143" s="67">
        <v>4.41</v>
      </c>
      <c r="F143" s="67">
        <v>17.87</v>
      </c>
      <c r="G143" s="67">
        <v>129</v>
      </c>
      <c r="H143" s="67">
        <v>0.75</v>
      </c>
    </row>
    <row r="144" spans="1:8" ht="177.75" thickBot="1">
      <c r="A144" s="47">
        <v>2</v>
      </c>
      <c r="B144" s="24" t="s">
        <v>69</v>
      </c>
      <c r="C144" s="34">
        <v>180</v>
      </c>
      <c r="D144" s="48">
        <v>2.92</v>
      </c>
      <c r="E144" s="48">
        <v>3.08</v>
      </c>
      <c r="F144" s="48">
        <v>12.41</v>
      </c>
      <c r="G144" s="48">
        <v>86</v>
      </c>
      <c r="H144" s="48">
        <v>1.17</v>
      </c>
    </row>
    <row r="145" spans="1:8" ht="89.25" thickBot="1">
      <c r="A145" s="47">
        <v>16</v>
      </c>
      <c r="B145" s="24" t="s">
        <v>36</v>
      </c>
      <c r="C145" s="53" t="s">
        <v>240</v>
      </c>
      <c r="D145" s="52">
        <v>1.56</v>
      </c>
      <c r="E145" s="52">
        <v>3.73</v>
      </c>
      <c r="F145" s="52">
        <v>9.9</v>
      </c>
      <c r="G145" s="52">
        <v>79</v>
      </c>
      <c r="H145" s="52">
        <v>0</v>
      </c>
    </row>
    <row r="146" spans="1:8" ht="89.25" thickBot="1">
      <c r="A146" s="47"/>
      <c r="B146" s="24" t="s">
        <v>6</v>
      </c>
      <c r="C146" s="34">
        <f>C143+C144+C145</f>
        <v>355</v>
      </c>
      <c r="D146" s="52">
        <f>SUM(D143:D145)</f>
        <v>9.08</v>
      </c>
      <c r="E146" s="52">
        <f>SUM(E143+E144+E145)</f>
        <v>11.22</v>
      </c>
      <c r="F146" s="52">
        <f>SUM(F143+F144+F145)</f>
        <v>40.18</v>
      </c>
      <c r="G146" s="52">
        <f>SUM(G143+G144+G145)</f>
        <v>294</v>
      </c>
      <c r="H146" s="52">
        <f>SUM(H143+H144+H145)</f>
        <v>1.92</v>
      </c>
    </row>
    <row r="147" spans="1:8" ht="89.25" thickBot="1">
      <c r="A147" s="172" t="s">
        <v>53</v>
      </c>
      <c r="B147" s="173"/>
      <c r="C147" s="173"/>
      <c r="D147" s="173"/>
      <c r="E147" s="173"/>
      <c r="F147" s="173"/>
      <c r="G147" s="173"/>
      <c r="H147" s="174"/>
    </row>
    <row r="148" spans="1:8" ht="89.25" thickBot="1">
      <c r="A148" s="47" t="s">
        <v>32</v>
      </c>
      <c r="B148" s="24" t="s">
        <v>182</v>
      </c>
      <c r="C148" s="53" t="s">
        <v>26</v>
      </c>
      <c r="D148" s="52">
        <v>0.2</v>
      </c>
      <c r="E148" s="52">
        <v>0.11</v>
      </c>
      <c r="F148" s="52">
        <v>10.11</v>
      </c>
      <c r="G148" s="52">
        <v>46</v>
      </c>
      <c r="H148" s="52">
        <v>2</v>
      </c>
    </row>
    <row r="149" spans="1:8" ht="89.25" thickBot="1">
      <c r="A149" s="47"/>
      <c r="B149" s="24" t="s">
        <v>6</v>
      </c>
      <c r="C149" s="51" t="s">
        <v>26</v>
      </c>
      <c r="D149" s="52">
        <f>SUM(D148)</f>
        <v>0.2</v>
      </c>
      <c r="E149" s="52">
        <f>SUM(E148)</f>
        <v>0.11</v>
      </c>
      <c r="F149" s="52">
        <f>SUM(F148)</f>
        <v>10.11</v>
      </c>
      <c r="G149" s="52">
        <f>SUM(G148)</f>
        <v>46</v>
      </c>
      <c r="H149" s="52">
        <f>SUM(H148)</f>
        <v>2</v>
      </c>
    </row>
    <row r="150" spans="1:8" ht="89.25" thickBot="1">
      <c r="A150" s="185" t="s">
        <v>31</v>
      </c>
      <c r="B150" s="186"/>
      <c r="C150" s="186"/>
      <c r="D150" s="186"/>
      <c r="E150" s="186"/>
      <c r="F150" s="186"/>
      <c r="G150" s="186"/>
      <c r="H150" s="187"/>
    </row>
    <row r="151" spans="1:8" ht="89.25" thickBot="1">
      <c r="A151" s="54">
        <v>56</v>
      </c>
      <c r="B151" s="24" t="s">
        <v>228</v>
      </c>
      <c r="C151" s="53" t="s">
        <v>155</v>
      </c>
      <c r="D151" s="52">
        <v>0.53</v>
      </c>
      <c r="E151" s="52">
        <v>2.42</v>
      </c>
      <c r="F151" s="52">
        <v>3.03</v>
      </c>
      <c r="G151" s="52">
        <v>36.67</v>
      </c>
      <c r="H151" s="52">
        <v>3.2</v>
      </c>
    </row>
    <row r="152" spans="1:8" ht="177.75" thickBot="1">
      <c r="A152" s="47">
        <v>92</v>
      </c>
      <c r="B152" s="24" t="s">
        <v>238</v>
      </c>
      <c r="C152" s="51" t="s">
        <v>27</v>
      </c>
      <c r="D152" s="52">
        <v>8.3</v>
      </c>
      <c r="E152" s="52">
        <v>5.6</v>
      </c>
      <c r="F152" s="52">
        <v>11.24</v>
      </c>
      <c r="G152" s="52">
        <v>143</v>
      </c>
      <c r="H152" s="52">
        <v>8</v>
      </c>
    </row>
    <row r="153" spans="1:8" ht="89.25" thickBot="1">
      <c r="A153" s="54">
        <v>91</v>
      </c>
      <c r="B153" s="24" t="s">
        <v>170</v>
      </c>
      <c r="C153" s="53" t="s">
        <v>26</v>
      </c>
      <c r="D153" s="52">
        <v>1.96</v>
      </c>
      <c r="E153" s="52">
        <v>4.07</v>
      </c>
      <c r="F153" s="52">
        <v>12.97</v>
      </c>
      <c r="G153" s="52">
        <v>102</v>
      </c>
      <c r="H153" s="52">
        <v>7.12</v>
      </c>
    </row>
    <row r="154" spans="1:8" ht="177.75" thickBot="1">
      <c r="A154" s="54">
        <v>29</v>
      </c>
      <c r="B154" s="24" t="s">
        <v>163</v>
      </c>
      <c r="C154" s="51" t="s">
        <v>28</v>
      </c>
      <c r="D154" s="52">
        <v>7.8</v>
      </c>
      <c r="E154" s="52">
        <v>4.36</v>
      </c>
      <c r="F154" s="52">
        <v>28.33</v>
      </c>
      <c r="G154" s="52">
        <v>114</v>
      </c>
      <c r="H154" s="52">
        <v>0.41</v>
      </c>
    </row>
    <row r="155" spans="1:8" ht="89.25" thickBot="1">
      <c r="A155" s="47">
        <v>9</v>
      </c>
      <c r="B155" s="26" t="s">
        <v>225</v>
      </c>
      <c r="C155" s="53" t="s">
        <v>27</v>
      </c>
      <c r="D155" s="52">
        <v>0.78</v>
      </c>
      <c r="E155" s="52">
        <v>0</v>
      </c>
      <c r="F155" s="52">
        <v>18.23</v>
      </c>
      <c r="G155" s="52">
        <v>75</v>
      </c>
      <c r="H155" s="52">
        <v>0.6</v>
      </c>
    </row>
    <row r="156" spans="1:8" ht="177.75" thickBot="1">
      <c r="A156" s="47" t="s">
        <v>32</v>
      </c>
      <c r="B156" s="24" t="s">
        <v>56</v>
      </c>
      <c r="C156" s="34">
        <v>20</v>
      </c>
      <c r="D156" s="52">
        <v>1.6</v>
      </c>
      <c r="E156" s="52">
        <v>0.2</v>
      </c>
      <c r="F156" s="52">
        <v>9.64</v>
      </c>
      <c r="G156" s="52">
        <v>47.2</v>
      </c>
      <c r="H156" s="52">
        <v>0</v>
      </c>
    </row>
    <row r="157" spans="1:8" ht="177.75" thickBot="1">
      <c r="A157" s="47" t="s">
        <v>32</v>
      </c>
      <c r="B157" s="24" t="s">
        <v>58</v>
      </c>
      <c r="C157" s="34">
        <v>40</v>
      </c>
      <c r="D157" s="52">
        <v>2.24</v>
      </c>
      <c r="E157" s="52">
        <v>0.48</v>
      </c>
      <c r="F157" s="52">
        <v>19.76</v>
      </c>
      <c r="G157" s="52">
        <v>92.8</v>
      </c>
      <c r="H157" s="52">
        <v>0</v>
      </c>
    </row>
    <row r="158" spans="1:8" ht="89.25" thickBot="1">
      <c r="A158" s="47"/>
      <c r="B158" s="24" t="s">
        <v>6</v>
      </c>
      <c r="C158" s="34">
        <f aca="true" t="shared" si="10" ref="C158:H158">C151+C152+C153+C154+C155+C156+C157</f>
        <v>570</v>
      </c>
      <c r="D158" s="52">
        <f t="shared" si="10"/>
        <v>23.21</v>
      </c>
      <c r="E158" s="52">
        <f t="shared" si="10"/>
        <v>17.13</v>
      </c>
      <c r="F158" s="52">
        <f t="shared" si="10"/>
        <v>103.2</v>
      </c>
      <c r="G158" s="52">
        <f t="shared" si="10"/>
        <v>610.67</v>
      </c>
      <c r="H158" s="52">
        <f t="shared" si="10"/>
        <v>19.330000000000002</v>
      </c>
    </row>
    <row r="159" spans="1:8" ht="89.25" thickBot="1">
      <c r="A159" s="172" t="s">
        <v>145</v>
      </c>
      <c r="B159" s="173"/>
      <c r="C159" s="173"/>
      <c r="D159" s="173"/>
      <c r="E159" s="173"/>
      <c r="F159" s="173"/>
      <c r="G159" s="173"/>
      <c r="H159" s="174"/>
    </row>
    <row r="160" spans="1:8" ht="266.25" thickBot="1">
      <c r="A160" s="55">
        <v>21.1</v>
      </c>
      <c r="B160" s="56" t="s">
        <v>172</v>
      </c>
      <c r="C160" s="51" t="s">
        <v>27</v>
      </c>
      <c r="D160" s="48">
        <v>4.35</v>
      </c>
      <c r="E160" s="48">
        <v>4.8</v>
      </c>
      <c r="F160" s="48">
        <v>6</v>
      </c>
      <c r="G160" s="48">
        <v>88.5</v>
      </c>
      <c r="H160" s="48">
        <v>1.05</v>
      </c>
    </row>
    <row r="161" spans="1:8" ht="266.25" thickBot="1">
      <c r="A161" s="47">
        <v>95</v>
      </c>
      <c r="B161" s="24" t="s">
        <v>266</v>
      </c>
      <c r="C161" s="51" t="s">
        <v>34</v>
      </c>
      <c r="D161" s="52">
        <v>3.96</v>
      </c>
      <c r="E161" s="52">
        <v>4.35</v>
      </c>
      <c r="F161" s="52">
        <v>21.19</v>
      </c>
      <c r="G161" s="52">
        <v>150</v>
      </c>
      <c r="H161" s="52">
        <v>3.49</v>
      </c>
    </row>
    <row r="162" spans="1:8" ht="89.25" thickBot="1">
      <c r="A162" s="54"/>
      <c r="B162" s="24" t="s">
        <v>29</v>
      </c>
      <c r="C162" s="34">
        <f aca="true" t="shared" si="11" ref="C162:H162">C160+C161</f>
        <v>210</v>
      </c>
      <c r="D162" s="52">
        <f t="shared" si="11"/>
        <v>8.309999999999999</v>
      </c>
      <c r="E162" s="52">
        <f t="shared" si="11"/>
        <v>9.149999999999999</v>
      </c>
      <c r="F162" s="52">
        <f t="shared" si="11"/>
        <v>27.19</v>
      </c>
      <c r="G162" s="52">
        <f t="shared" si="11"/>
        <v>238.5</v>
      </c>
      <c r="H162" s="52">
        <f t="shared" si="11"/>
        <v>4.54</v>
      </c>
    </row>
    <row r="163" spans="1:8" ht="89.25" thickBot="1">
      <c r="A163" s="185" t="s">
        <v>144</v>
      </c>
      <c r="B163" s="186"/>
      <c r="C163" s="186"/>
      <c r="D163" s="186"/>
      <c r="E163" s="186"/>
      <c r="F163" s="186"/>
      <c r="G163" s="186"/>
      <c r="H163" s="187"/>
    </row>
    <row r="164" spans="1:8" ht="89.25" thickBot="1">
      <c r="A164" s="47">
        <v>26</v>
      </c>
      <c r="B164" s="26" t="s">
        <v>249</v>
      </c>
      <c r="C164" s="34">
        <v>150</v>
      </c>
      <c r="D164" s="52">
        <v>5.46</v>
      </c>
      <c r="E164" s="52">
        <v>5.39</v>
      </c>
      <c r="F164" s="52">
        <v>24.08</v>
      </c>
      <c r="G164" s="60">
        <v>165.83</v>
      </c>
      <c r="H164" s="60">
        <v>1.48</v>
      </c>
    </row>
    <row r="165" spans="1:8" ht="89.25" thickBot="1">
      <c r="A165" s="54">
        <v>13</v>
      </c>
      <c r="B165" s="50" t="s">
        <v>7</v>
      </c>
      <c r="C165" s="34">
        <v>180</v>
      </c>
      <c r="D165" s="52">
        <v>0</v>
      </c>
      <c r="E165" s="52">
        <v>0</v>
      </c>
      <c r="F165" s="52">
        <v>10.78</v>
      </c>
      <c r="G165" s="52">
        <v>36</v>
      </c>
      <c r="H165" s="52">
        <v>0</v>
      </c>
    </row>
    <row r="166" spans="1:8" ht="177.75" thickBot="1">
      <c r="A166" s="47">
        <v>69</v>
      </c>
      <c r="B166" s="24" t="s">
        <v>106</v>
      </c>
      <c r="C166" s="51" t="s">
        <v>253</v>
      </c>
      <c r="D166" s="52">
        <v>0.34</v>
      </c>
      <c r="E166" s="52">
        <v>0.34</v>
      </c>
      <c r="F166" s="52">
        <v>8.33</v>
      </c>
      <c r="G166" s="52">
        <v>39.95</v>
      </c>
      <c r="H166" s="52">
        <v>8.5</v>
      </c>
    </row>
    <row r="167" spans="1:8" ht="177.75" thickBot="1">
      <c r="A167" s="47" t="s">
        <v>32</v>
      </c>
      <c r="B167" s="24" t="s">
        <v>56</v>
      </c>
      <c r="C167" s="34">
        <v>15</v>
      </c>
      <c r="D167" s="52">
        <v>1.2</v>
      </c>
      <c r="E167" s="52">
        <v>0.15</v>
      </c>
      <c r="F167" s="52">
        <v>7.23</v>
      </c>
      <c r="G167" s="52">
        <v>35.4</v>
      </c>
      <c r="H167" s="52">
        <v>0</v>
      </c>
    </row>
    <row r="168" spans="1:8" s="46" customFormat="1" ht="89.25" thickBot="1">
      <c r="A168" s="47"/>
      <c r="B168" s="24" t="s">
        <v>6</v>
      </c>
      <c r="C168" s="34">
        <f aca="true" t="shared" si="12" ref="C168:H168">C164+C165+C166+C167</f>
        <v>430</v>
      </c>
      <c r="D168" s="52">
        <f t="shared" si="12"/>
        <v>7</v>
      </c>
      <c r="E168" s="52">
        <f t="shared" si="12"/>
        <v>5.88</v>
      </c>
      <c r="F168" s="52">
        <f t="shared" si="12"/>
        <v>50.42</v>
      </c>
      <c r="G168" s="52">
        <f t="shared" si="12"/>
        <v>277.18</v>
      </c>
      <c r="H168" s="52">
        <f t="shared" si="12"/>
        <v>9.98</v>
      </c>
    </row>
    <row r="169" spans="1:8" ht="89.25" thickBot="1">
      <c r="A169" s="47"/>
      <c r="B169" s="24"/>
      <c r="C169" s="51"/>
      <c r="D169" s="40" t="s">
        <v>0</v>
      </c>
      <c r="E169" s="41" t="s">
        <v>1</v>
      </c>
      <c r="F169" s="41" t="s">
        <v>2</v>
      </c>
      <c r="G169" s="149" t="s">
        <v>3</v>
      </c>
      <c r="H169" s="41" t="s">
        <v>4</v>
      </c>
    </row>
    <row r="170" spans="1:8" ht="89.25" thickBot="1">
      <c r="A170" s="47"/>
      <c r="B170" s="58" t="s">
        <v>10</v>
      </c>
      <c r="C170" s="51"/>
      <c r="D170" s="52">
        <f>D146+D149+D158+D162+D168</f>
        <v>47.8</v>
      </c>
      <c r="E170" s="52">
        <f>E146+E149+E158+E162+E168</f>
        <v>43.49</v>
      </c>
      <c r="F170" s="52">
        <f>F146+F149+F158+F162+F168</f>
        <v>231.10000000000002</v>
      </c>
      <c r="G170" s="52">
        <f>G146+G149+G158+G162+G168</f>
        <v>1466.3500000000001</v>
      </c>
      <c r="H170" s="52">
        <f>H146+H149+H158+H162+H168</f>
        <v>37.769999999999996</v>
      </c>
    </row>
    <row r="171" spans="1:8" ht="176.25" thickBot="1">
      <c r="A171" s="47"/>
      <c r="B171" s="58" t="s">
        <v>11</v>
      </c>
      <c r="C171" s="51"/>
      <c r="D171" s="52">
        <v>42</v>
      </c>
      <c r="E171" s="52">
        <v>47</v>
      </c>
      <c r="F171" s="52">
        <v>203</v>
      </c>
      <c r="G171" s="52">
        <v>1400</v>
      </c>
      <c r="H171" s="52">
        <v>45</v>
      </c>
    </row>
    <row r="172" spans="1:8" ht="210" customHeight="1" thickBot="1">
      <c r="A172" s="42"/>
      <c r="B172" s="59" t="s">
        <v>12</v>
      </c>
      <c r="C172" s="41"/>
      <c r="D172" s="60">
        <f>D170*100/D171</f>
        <v>113.80952380952381</v>
      </c>
      <c r="E172" s="60">
        <f>E170*100/E171</f>
        <v>92.53191489361703</v>
      </c>
      <c r="F172" s="60">
        <f>F170*100/F171</f>
        <v>113.84236453201972</v>
      </c>
      <c r="G172" s="60">
        <f>G170*100/G171</f>
        <v>104.73928571428571</v>
      </c>
      <c r="H172" s="60">
        <f>H170*100/H171</f>
        <v>83.93333333333332</v>
      </c>
    </row>
    <row r="173" spans="1:8" ht="88.5">
      <c r="A173" s="61"/>
      <c r="B173" s="147"/>
      <c r="C173" s="146"/>
      <c r="D173" s="62"/>
      <c r="E173" s="62"/>
      <c r="F173" s="62"/>
      <c r="G173" s="62"/>
      <c r="H173" s="62"/>
    </row>
    <row r="174" spans="1:8" ht="88.5">
      <c r="A174" s="61"/>
      <c r="B174" s="38" t="s">
        <v>68</v>
      </c>
      <c r="C174" s="38"/>
      <c r="E174" s="62"/>
      <c r="F174" s="62"/>
      <c r="G174" s="62"/>
      <c r="H174" s="62"/>
    </row>
    <row r="175" spans="1:2" ht="102">
      <c r="A175" s="61"/>
      <c r="B175" s="38" t="s">
        <v>271</v>
      </c>
    </row>
    <row r="176" spans="1:2" ht="88.5">
      <c r="A176" s="61"/>
      <c r="B176" s="38" t="s">
        <v>67</v>
      </c>
    </row>
    <row r="177" spans="1:2" ht="88.5">
      <c r="A177" s="61"/>
      <c r="B177" s="38" t="s">
        <v>149</v>
      </c>
    </row>
    <row r="178" spans="1:8" ht="88.5">
      <c r="A178" s="61"/>
      <c r="B178" s="147"/>
      <c r="C178" s="146"/>
      <c r="D178" s="62"/>
      <c r="E178" s="62"/>
      <c r="F178" s="62"/>
      <c r="G178" s="62"/>
      <c r="H178" s="62"/>
    </row>
    <row r="179" spans="1:8" ht="88.5">
      <c r="A179" s="175" t="s">
        <v>199</v>
      </c>
      <c r="B179" s="175"/>
      <c r="C179" s="175"/>
      <c r="D179" s="175"/>
      <c r="E179" s="175"/>
      <c r="F179" s="175"/>
      <c r="G179" s="175"/>
      <c r="H179" s="175"/>
    </row>
    <row r="180" spans="1:8" ht="88.5">
      <c r="A180" s="175" t="s">
        <v>48</v>
      </c>
      <c r="B180" s="175"/>
      <c r="C180" s="175"/>
      <c r="D180" s="175"/>
      <c r="E180" s="175"/>
      <c r="F180" s="175"/>
      <c r="G180" s="175"/>
      <c r="H180" s="175"/>
    </row>
    <row r="181" spans="1:8" ht="88.5">
      <c r="A181" s="176" t="s">
        <v>64</v>
      </c>
      <c r="B181" s="176"/>
      <c r="C181" s="176"/>
      <c r="D181" s="176"/>
      <c r="E181" s="176"/>
      <c r="F181" s="176"/>
      <c r="G181" s="176"/>
      <c r="H181" s="176"/>
    </row>
    <row r="182" spans="1:8" ht="89.25" thickBot="1">
      <c r="A182" s="177"/>
      <c r="B182" s="177"/>
      <c r="C182" s="177"/>
      <c r="D182" s="177"/>
      <c r="E182" s="177"/>
      <c r="F182" s="177"/>
      <c r="G182" s="177"/>
      <c r="H182" s="177"/>
    </row>
    <row r="183" spans="1:8" ht="89.25" thickBot="1">
      <c r="A183" s="178" t="s">
        <v>30</v>
      </c>
      <c r="B183" s="180" t="s">
        <v>50</v>
      </c>
      <c r="C183" s="183" t="s">
        <v>111</v>
      </c>
      <c r="D183" s="172" t="s">
        <v>24</v>
      </c>
      <c r="E183" s="173"/>
      <c r="F183" s="174"/>
      <c r="G183" s="180" t="s">
        <v>51</v>
      </c>
      <c r="H183" s="180" t="s">
        <v>112</v>
      </c>
    </row>
    <row r="184" spans="1:8" ht="89.25" thickBot="1">
      <c r="A184" s="179"/>
      <c r="B184" s="181"/>
      <c r="C184" s="184"/>
      <c r="D184" s="40" t="s">
        <v>0</v>
      </c>
      <c r="E184" s="41" t="s">
        <v>1</v>
      </c>
      <c r="F184" s="41" t="s">
        <v>2</v>
      </c>
      <c r="G184" s="181"/>
      <c r="H184" s="181"/>
    </row>
    <row r="185" spans="1:8" ht="89.25" thickBot="1">
      <c r="A185" s="148">
        <v>1</v>
      </c>
      <c r="B185" s="43">
        <v>2</v>
      </c>
      <c r="C185" s="44">
        <v>3</v>
      </c>
      <c r="D185" s="63">
        <v>4</v>
      </c>
      <c r="E185" s="43">
        <v>5</v>
      </c>
      <c r="F185" s="43">
        <v>6</v>
      </c>
      <c r="G185" s="43">
        <v>7</v>
      </c>
      <c r="H185" s="43">
        <v>8</v>
      </c>
    </row>
    <row r="186" spans="1:8" ht="89.25" thickBot="1">
      <c r="A186" s="172" t="s">
        <v>5</v>
      </c>
      <c r="B186" s="173"/>
      <c r="C186" s="173"/>
      <c r="D186" s="173"/>
      <c r="E186" s="173"/>
      <c r="F186" s="173"/>
      <c r="G186" s="173"/>
      <c r="H186" s="174"/>
    </row>
    <row r="187" spans="1:8" ht="266.25" thickBot="1">
      <c r="A187" s="54">
        <v>84</v>
      </c>
      <c r="B187" s="26" t="s">
        <v>204</v>
      </c>
      <c r="C187" s="34">
        <v>150</v>
      </c>
      <c r="D187" s="48">
        <v>4.97</v>
      </c>
      <c r="E187" s="48">
        <v>5.98</v>
      </c>
      <c r="F187" s="48">
        <v>18.41</v>
      </c>
      <c r="G187" s="48">
        <v>147</v>
      </c>
      <c r="H187" s="48">
        <v>1.47</v>
      </c>
    </row>
    <row r="188" spans="1:8" ht="89.25" thickBot="1">
      <c r="A188" s="54">
        <v>15</v>
      </c>
      <c r="B188" s="50" t="s">
        <v>224</v>
      </c>
      <c r="C188" s="34">
        <v>180</v>
      </c>
      <c r="D188" s="52">
        <v>2.79</v>
      </c>
      <c r="E188" s="52">
        <v>3.04</v>
      </c>
      <c r="F188" s="52">
        <v>12.32</v>
      </c>
      <c r="G188" s="52">
        <v>87</v>
      </c>
      <c r="H188" s="52">
        <v>1.17</v>
      </c>
    </row>
    <row r="189" spans="1:8" ht="177.75" thickBot="1">
      <c r="A189" s="47">
        <v>3</v>
      </c>
      <c r="B189" s="24" t="s">
        <v>38</v>
      </c>
      <c r="C189" s="51" t="s">
        <v>259</v>
      </c>
      <c r="D189" s="52">
        <v>3.42</v>
      </c>
      <c r="E189" s="52">
        <v>6.09</v>
      </c>
      <c r="F189" s="52">
        <v>9.9</v>
      </c>
      <c r="G189" s="52">
        <v>108</v>
      </c>
      <c r="H189" s="52">
        <v>0.06</v>
      </c>
    </row>
    <row r="190" spans="1:8" ht="89.25" thickBot="1">
      <c r="A190" s="47"/>
      <c r="B190" s="24" t="s">
        <v>6</v>
      </c>
      <c r="C190" s="34">
        <f aca="true" t="shared" si="13" ref="C190:H190">C187+C188+C189</f>
        <v>363</v>
      </c>
      <c r="D190" s="52">
        <f t="shared" si="13"/>
        <v>11.18</v>
      </c>
      <c r="E190" s="52">
        <f t="shared" si="13"/>
        <v>15.11</v>
      </c>
      <c r="F190" s="52">
        <f t="shared" si="13"/>
        <v>40.63</v>
      </c>
      <c r="G190" s="52">
        <f t="shared" si="13"/>
        <v>342</v>
      </c>
      <c r="H190" s="52">
        <f t="shared" si="13"/>
        <v>2.6999999999999997</v>
      </c>
    </row>
    <row r="191" spans="1:8" ht="89.25" thickBot="1">
      <c r="A191" s="172" t="s">
        <v>53</v>
      </c>
      <c r="B191" s="173"/>
      <c r="C191" s="173"/>
      <c r="D191" s="173"/>
      <c r="E191" s="173"/>
      <c r="F191" s="173"/>
      <c r="G191" s="173"/>
      <c r="H191" s="174"/>
    </row>
    <row r="192" spans="1:8" ht="89.25" thickBot="1">
      <c r="A192" s="47" t="s">
        <v>32</v>
      </c>
      <c r="B192" s="24" t="s">
        <v>182</v>
      </c>
      <c r="C192" s="53" t="s">
        <v>26</v>
      </c>
      <c r="D192" s="52">
        <v>0.2</v>
      </c>
      <c r="E192" s="52">
        <v>0.11</v>
      </c>
      <c r="F192" s="52">
        <v>10.11</v>
      </c>
      <c r="G192" s="52">
        <v>46</v>
      </c>
      <c r="H192" s="52">
        <v>2</v>
      </c>
    </row>
    <row r="193" spans="1:8" ht="89.25" thickBot="1">
      <c r="A193" s="47"/>
      <c r="B193" s="24" t="s">
        <v>6</v>
      </c>
      <c r="C193" s="51" t="s">
        <v>26</v>
      </c>
      <c r="D193" s="52">
        <f>SUM(D192)</f>
        <v>0.2</v>
      </c>
      <c r="E193" s="52">
        <f>SUM(E192)</f>
        <v>0.11</v>
      </c>
      <c r="F193" s="52">
        <f>SUM(F192)</f>
        <v>10.11</v>
      </c>
      <c r="G193" s="52">
        <f>SUM(G192)</f>
        <v>46</v>
      </c>
      <c r="H193" s="52">
        <f>SUM(H192)</f>
        <v>2</v>
      </c>
    </row>
    <row r="194" spans="1:8" ht="89.25" thickBot="1">
      <c r="A194" s="185" t="s">
        <v>31</v>
      </c>
      <c r="B194" s="186"/>
      <c r="C194" s="186"/>
      <c r="D194" s="186"/>
      <c r="E194" s="186"/>
      <c r="F194" s="186"/>
      <c r="G194" s="186"/>
      <c r="H194" s="187"/>
    </row>
    <row r="195" spans="1:8" ht="89.25" thickBot="1">
      <c r="A195" s="54">
        <v>51</v>
      </c>
      <c r="B195" s="24" t="s">
        <v>226</v>
      </c>
      <c r="C195" s="53" t="s">
        <v>155</v>
      </c>
      <c r="D195" s="52">
        <v>0.47</v>
      </c>
      <c r="E195" s="52">
        <v>2.44</v>
      </c>
      <c r="F195" s="52">
        <v>2.77</v>
      </c>
      <c r="G195" s="52">
        <v>35</v>
      </c>
      <c r="H195" s="52">
        <v>1.1</v>
      </c>
    </row>
    <row r="196" spans="1:8" ht="266.25" thickBot="1">
      <c r="A196" s="47">
        <v>25</v>
      </c>
      <c r="B196" s="24" t="s">
        <v>39</v>
      </c>
      <c r="C196" s="51" t="s">
        <v>27</v>
      </c>
      <c r="D196" s="52">
        <v>2.46</v>
      </c>
      <c r="E196" s="52">
        <v>3.6</v>
      </c>
      <c r="F196" s="52">
        <v>12.57</v>
      </c>
      <c r="G196" s="52">
        <v>87.08</v>
      </c>
      <c r="H196" s="52">
        <v>4.93</v>
      </c>
    </row>
    <row r="197" spans="1:8" ht="177.75" thickBot="1">
      <c r="A197" s="47">
        <v>81</v>
      </c>
      <c r="B197" s="24" t="s">
        <v>209</v>
      </c>
      <c r="C197" s="34">
        <v>200</v>
      </c>
      <c r="D197" s="52">
        <v>3.05</v>
      </c>
      <c r="E197" s="52">
        <v>6.42</v>
      </c>
      <c r="F197" s="52">
        <v>12.48</v>
      </c>
      <c r="G197" s="52">
        <v>127.2</v>
      </c>
      <c r="H197" s="52">
        <v>16.25</v>
      </c>
    </row>
    <row r="198" spans="1:8" ht="177.75" thickBot="1">
      <c r="A198" s="35">
        <v>66</v>
      </c>
      <c r="B198" s="56" t="s">
        <v>146</v>
      </c>
      <c r="C198" s="51" t="s">
        <v>27</v>
      </c>
      <c r="D198" s="48">
        <v>0.51</v>
      </c>
      <c r="E198" s="48">
        <v>0.21</v>
      </c>
      <c r="F198" s="48">
        <v>16.22</v>
      </c>
      <c r="G198" s="48">
        <v>79</v>
      </c>
      <c r="H198" s="48">
        <v>150</v>
      </c>
    </row>
    <row r="199" spans="1:8" ht="177.75" thickBot="1">
      <c r="A199" s="47" t="s">
        <v>32</v>
      </c>
      <c r="B199" s="24" t="s">
        <v>56</v>
      </c>
      <c r="C199" s="34">
        <v>20</v>
      </c>
      <c r="D199" s="52">
        <v>1.6</v>
      </c>
      <c r="E199" s="52">
        <v>0.2</v>
      </c>
      <c r="F199" s="52">
        <v>9.64</v>
      </c>
      <c r="G199" s="52">
        <v>47.2</v>
      </c>
      <c r="H199" s="52">
        <v>0</v>
      </c>
    </row>
    <row r="200" spans="1:8" ht="177.75" thickBot="1">
      <c r="A200" s="47" t="s">
        <v>32</v>
      </c>
      <c r="B200" s="24" t="s">
        <v>58</v>
      </c>
      <c r="C200" s="34">
        <v>40</v>
      </c>
      <c r="D200" s="52">
        <v>2.24</v>
      </c>
      <c r="E200" s="52">
        <v>0.48</v>
      </c>
      <c r="F200" s="52">
        <v>19.76</v>
      </c>
      <c r="G200" s="52">
        <v>92.8</v>
      </c>
      <c r="H200" s="52">
        <v>0</v>
      </c>
    </row>
    <row r="201" spans="1:8" ht="89.25" thickBot="1">
      <c r="A201" s="47"/>
      <c r="B201" s="24" t="s">
        <v>29</v>
      </c>
      <c r="C201" s="34">
        <f aca="true" t="shared" si="14" ref="C201:H201">C195+C196+C197+C198+C199+C200</f>
        <v>590</v>
      </c>
      <c r="D201" s="52">
        <f t="shared" si="14"/>
        <v>10.33</v>
      </c>
      <c r="E201" s="52">
        <f t="shared" si="14"/>
        <v>13.350000000000001</v>
      </c>
      <c r="F201" s="52">
        <f t="shared" si="14"/>
        <v>73.44</v>
      </c>
      <c r="G201" s="52">
        <f t="shared" si="14"/>
        <v>468.28</v>
      </c>
      <c r="H201" s="52">
        <f t="shared" si="14"/>
        <v>172.28</v>
      </c>
    </row>
    <row r="202" spans="1:8" ht="89.25" thickBot="1">
      <c r="A202" s="172" t="s">
        <v>145</v>
      </c>
      <c r="B202" s="173"/>
      <c r="C202" s="173"/>
      <c r="D202" s="173"/>
      <c r="E202" s="173"/>
      <c r="F202" s="173"/>
      <c r="G202" s="173"/>
      <c r="H202" s="174"/>
    </row>
    <row r="203" spans="1:8" ht="266.25" thickBot="1">
      <c r="A203" s="55">
        <v>21.1</v>
      </c>
      <c r="B203" s="56" t="s">
        <v>172</v>
      </c>
      <c r="C203" s="51" t="s">
        <v>27</v>
      </c>
      <c r="D203" s="48">
        <v>4.35</v>
      </c>
      <c r="E203" s="48">
        <v>4.8</v>
      </c>
      <c r="F203" s="48">
        <v>6</v>
      </c>
      <c r="G203" s="48">
        <v>88.5</v>
      </c>
      <c r="H203" s="48">
        <v>1.05</v>
      </c>
    </row>
    <row r="204" spans="1:8" ht="409.5" thickBot="1">
      <c r="A204" s="64" t="s">
        <v>263</v>
      </c>
      <c r="B204" s="65" t="s">
        <v>272</v>
      </c>
      <c r="C204" s="73" t="s">
        <v>264</v>
      </c>
      <c r="D204" s="67">
        <v>5.05</v>
      </c>
      <c r="E204" s="67">
        <v>3.18</v>
      </c>
      <c r="F204" s="67">
        <v>31.03</v>
      </c>
      <c r="G204" s="67">
        <v>187.71</v>
      </c>
      <c r="H204" s="67">
        <v>0.22</v>
      </c>
    </row>
    <row r="205" spans="1:8" ht="89.25" thickBot="1">
      <c r="A205" s="54"/>
      <c r="B205" s="24" t="s">
        <v>29</v>
      </c>
      <c r="C205" s="34">
        <v>210</v>
      </c>
      <c r="D205" s="52">
        <f>D203+D204</f>
        <v>9.399999999999999</v>
      </c>
      <c r="E205" s="52">
        <f>E203+E204</f>
        <v>7.98</v>
      </c>
      <c r="F205" s="52">
        <f>F203+F204</f>
        <v>37.03</v>
      </c>
      <c r="G205" s="52">
        <f>G203+G204</f>
        <v>276.21000000000004</v>
      </c>
      <c r="H205" s="52">
        <f>H203+H204</f>
        <v>1.27</v>
      </c>
    </row>
    <row r="206" spans="1:8" ht="89.25" thickBot="1">
      <c r="A206" s="185" t="s">
        <v>144</v>
      </c>
      <c r="B206" s="186"/>
      <c r="C206" s="186"/>
      <c r="D206" s="186"/>
      <c r="E206" s="186"/>
      <c r="F206" s="186"/>
      <c r="G206" s="186"/>
      <c r="H206" s="187"/>
    </row>
    <row r="207" spans="1:8" ht="177.75" thickBot="1">
      <c r="A207" s="64">
        <v>49</v>
      </c>
      <c r="B207" s="65" t="s">
        <v>166</v>
      </c>
      <c r="C207" s="51" t="s">
        <v>246</v>
      </c>
      <c r="D207" s="67">
        <v>26.67</v>
      </c>
      <c r="E207" s="67">
        <v>17.49</v>
      </c>
      <c r="F207" s="67">
        <v>33.68</v>
      </c>
      <c r="G207" s="67">
        <v>414</v>
      </c>
      <c r="H207" s="67">
        <v>0.44</v>
      </c>
    </row>
    <row r="208" spans="1:8" ht="89.25" thickBot="1">
      <c r="A208" s="54">
        <v>13</v>
      </c>
      <c r="B208" s="50" t="s">
        <v>7</v>
      </c>
      <c r="C208" s="34">
        <v>180</v>
      </c>
      <c r="D208" s="52">
        <v>0</v>
      </c>
      <c r="E208" s="52">
        <v>0</v>
      </c>
      <c r="F208" s="52">
        <v>10.78</v>
      </c>
      <c r="G208" s="52">
        <v>36</v>
      </c>
      <c r="H208" s="52">
        <v>0</v>
      </c>
    </row>
    <row r="209" spans="1:8" ht="177.75" thickBot="1">
      <c r="A209" s="47">
        <v>69</v>
      </c>
      <c r="B209" s="24" t="s">
        <v>106</v>
      </c>
      <c r="C209" s="51" t="s">
        <v>253</v>
      </c>
      <c r="D209" s="52">
        <v>0.34</v>
      </c>
      <c r="E209" s="52">
        <v>0.34</v>
      </c>
      <c r="F209" s="52">
        <v>8.33</v>
      </c>
      <c r="G209" s="52">
        <v>39.95</v>
      </c>
      <c r="H209" s="52">
        <v>8.5</v>
      </c>
    </row>
    <row r="210" spans="1:8" ht="89.25" thickBot="1">
      <c r="A210" s="47"/>
      <c r="B210" s="24" t="s">
        <v>29</v>
      </c>
      <c r="C210" s="34">
        <f aca="true" t="shared" si="15" ref="C210:H210">C207+C208+C209</f>
        <v>440</v>
      </c>
      <c r="D210" s="52">
        <f t="shared" si="15"/>
        <v>27.01</v>
      </c>
      <c r="E210" s="52">
        <f t="shared" si="15"/>
        <v>17.83</v>
      </c>
      <c r="F210" s="52">
        <f t="shared" si="15"/>
        <v>52.79</v>
      </c>
      <c r="G210" s="52">
        <f t="shared" si="15"/>
        <v>489.95</v>
      </c>
      <c r="H210" s="52">
        <f t="shared" si="15"/>
        <v>8.94</v>
      </c>
    </row>
    <row r="211" spans="1:8" ht="89.25" thickBot="1">
      <c r="A211" s="47"/>
      <c r="B211" s="24"/>
      <c r="C211" s="51"/>
      <c r="D211" s="40" t="s">
        <v>0</v>
      </c>
      <c r="E211" s="41" t="s">
        <v>1</v>
      </c>
      <c r="F211" s="41" t="s">
        <v>2</v>
      </c>
      <c r="G211" s="149" t="s">
        <v>3</v>
      </c>
      <c r="H211" s="41" t="s">
        <v>4</v>
      </c>
    </row>
    <row r="212" spans="1:8" ht="89.25" thickBot="1">
      <c r="A212" s="47"/>
      <c r="B212" s="58" t="s">
        <v>10</v>
      </c>
      <c r="C212" s="51"/>
      <c r="D212" s="52">
        <f>D190+D193+D201+D205+D210</f>
        <v>58.120000000000005</v>
      </c>
      <c r="E212" s="52">
        <f>E190+E193+E201+E205+E210</f>
        <v>54.379999999999995</v>
      </c>
      <c r="F212" s="52">
        <f>F190+F193+F201+F205+F210</f>
        <v>214</v>
      </c>
      <c r="G212" s="52">
        <f>G190+G193+G201+G205+G210</f>
        <v>1622.44</v>
      </c>
      <c r="H212" s="52">
        <f>H190+H193+H201+H205+H210</f>
        <v>187.19</v>
      </c>
    </row>
    <row r="213" spans="1:8" ht="126" customHeight="1" thickBot="1">
      <c r="A213" s="47"/>
      <c r="B213" s="58" t="s">
        <v>11</v>
      </c>
      <c r="C213" s="51"/>
      <c r="D213" s="52">
        <v>42</v>
      </c>
      <c r="E213" s="52">
        <v>47</v>
      </c>
      <c r="F213" s="52">
        <v>203</v>
      </c>
      <c r="G213" s="52">
        <v>1400</v>
      </c>
      <c r="H213" s="52">
        <v>45</v>
      </c>
    </row>
    <row r="214" spans="1:8" ht="200.25" customHeight="1" thickBot="1">
      <c r="A214" s="42"/>
      <c r="B214" s="59" t="s">
        <v>12</v>
      </c>
      <c r="C214" s="41"/>
      <c r="D214" s="60">
        <f>D212*100/D213</f>
        <v>138.38095238095238</v>
      </c>
      <c r="E214" s="60">
        <f>E212*100/E213</f>
        <v>115.70212765957447</v>
      </c>
      <c r="F214" s="60">
        <f>F212*100/F213</f>
        <v>105.41871921182266</v>
      </c>
      <c r="G214" s="60">
        <f>G212*100/G213</f>
        <v>115.88857142857142</v>
      </c>
      <c r="H214" s="60">
        <f>H212*100/H213</f>
        <v>415.97777777777776</v>
      </c>
    </row>
    <row r="215" spans="1:8" ht="88.5">
      <c r="A215" s="61"/>
      <c r="B215" s="147"/>
      <c r="C215" s="146"/>
      <c r="D215" s="62"/>
      <c r="E215" s="62"/>
      <c r="F215" s="62"/>
      <c r="G215" s="62"/>
      <c r="H215" s="62"/>
    </row>
    <row r="216" spans="1:8" ht="88.5">
      <c r="A216" s="61"/>
      <c r="B216" s="38" t="s">
        <v>68</v>
      </c>
      <c r="C216" s="38"/>
      <c r="E216" s="62"/>
      <c r="F216" s="62"/>
      <c r="G216" s="62"/>
      <c r="H216" s="62"/>
    </row>
    <row r="217" spans="1:2" ht="102">
      <c r="A217" s="61"/>
      <c r="B217" s="38" t="s">
        <v>271</v>
      </c>
    </row>
    <row r="218" spans="1:2" ht="88.5">
      <c r="A218" s="61"/>
      <c r="B218" s="38" t="s">
        <v>67</v>
      </c>
    </row>
    <row r="219" spans="1:2" ht="88.5">
      <c r="A219" s="61"/>
      <c r="B219" s="38" t="s">
        <v>149</v>
      </c>
    </row>
    <row r="220" spans="1:8" ht="88.5">
      <c r="A220" s="61"/>
      <c r="B220" s="147"/>
      <c r="C220" s="146"/>
      <c r="D220" s="62"/>
      <c r="E220" s="62"/>
      <c r="F220" s="62"/>
      <c r="G220" s="62"/>
      <c r="H220" s="62"/>
    </row>
    <row r="221" spans="1:8" ht="88.5">
      <c r="A221" s="175" t="s">
        <v>192</v>
      </c>
      <c r="B221" s="175"/>
      <c r="C221" s="175"/>
      <c r="D221" s="175"/>
      <c r="E221" s="175"/>
      <c r="F221" s="175"/>
      <c r="G221" s="175"/>
      <c r="H221" s="175"/>
    </row>
    <row r="222" spans="1:8" ht="88.5">
      <c r="A222" s="175" t="s">
        <v>52</v>
      </c>
      <c r="B222" s="175"/>
      <c r="C222" s="175"/>
      <c r="D222" s="175"/>
      <c r="E222" s="175"/>
      <c r="F222" s="175"/>
      <c r="G222" s="175"/>
      <c r="H222" s="175"/>
    </row>
    <row r="223" spans="1:8" ht="88.5">
      <c r="A223" s="176" t="s">
        <v>64</v>
      </c>
      <c r="B223" s="176"/>
      <c r="C223" s="176"/>
      <c r="D223" s="176"/>
      <c r="E223" s="176"/>
      <c r="F223" s="176"/>
      <c r="G223" s="176"/>
      <c r="H223" s="176"/>
    </row>
    <row r="224" spans="1:8" ht="89.25" thickBot="1">
      <c r="A224" s="177"/>
      <c r="B224" s="177"/>
      <c r="C224" s="177"/>
      <c r="D224" s="177"/>
      <c r="E224" s="177"/>
      <c r="F224" s="177"/>
      <c r="G224" s="177"/>
      <c r="H224" s="177"/>
    </row>
    <row r="225" spans="1:8" ht="89.25" thickBot="1">
      <c r="A225" s="178" t="s">
        <v>30</v>
      </c>
      <c r="B225" s="180" t="s">
        <v>50</v>
      </c>
      <c r="C225" s="183" t="s">
        <v>111</v>
      </c>
      <c r="D225" s="172" t="s">
        <v>24</v>
      </c>
      <c r="E225" s="173"/>
      <c r="F225" s="174"/>
      <c r="G225" s="180" t="s">
        <v>51</v>
      </c>
      <c r="H225" s="180" t="s">
        <v>112</v>
      </c>
    </row>
    <row r="226" spans="1:8" ht="89.25" thickBot="1">
      <c r="A226" s="179"/>
      <c r="B226" s="181"/>
      <c r="C226" s="184"/>
      <c r="D226" s="40" t="s">
        <v>0</v>
      </c>
      <c r="E226" s="41" t="s">
        <v>1</v>
      </c>
      <c r="F226" s="41" t="s">
        <v>2</v>
      </c>
      <c r="G226" s="181"/>
      <c r="H226" s="181"/>
    </row>
    <row r="227" spans="1:8" ht="89.25" thickBot="1">
      <c r="A227" s="148">
        <v>1</v>
      </c>
      <c r="B227" s="43">
        <v>2</v>
      </c>
      <c r="C227" s="44">
        <v>3</v>
      </c>
      <c r="D227" s="63">
        <v>4</v>
      </c>
      <c r="E227" s="43">
        <v>5</v>
      </c>
      <c r="F227" s="43">
        <v>6</v>
      </c>
      <c r="G227" s="43">
        <v>7</v>
      </c>
      <c r="H227" s="43">
        <v>8</v>
      </c>
    </row>
    <row r="228" spans="1:8" ht="89.25" thickBot="1">
      <c r="A228" s="172" t="s">
        <v>5</v>
      </c>
      <c r="B228" s="173"/>
      <c r="C228" s="173"/>
      <c r="D228" s="173"/>
      <c r="E228" s="173"/>
      <c r="F228" s="173"/>
      <c r="G228" s="173"/>
      <c r="H228" s="174"/>
    </row>
    <row r="229" spans="1:8" ht="177.75" thickBot="1">
      <c r="A229" s="47">
        <v>43</v>
      </c>
      <c r="B229" s="24" t="s">
        <v>165</v>
      </c>
      <c r="C229" s="34">
        <v>100</v>
      </c>
      <c r="D229" s="52">
        <v>5.67</v>
      </c>
      <c r="E229" s="52">
        <v>4.68</v>
      </c>
      <c r="F229" s="52">
        <v>25.54</v>
      </c>
      <c r="G229" s="52">
        <v>165.56</v>
      </c>
      <c r="H229" s="52">
        <v>0</v>
      </c>
    </row>
    <row r="230" spans="1:8" ht="89.25" thickBot="1">
      <c r="A230" s="47">
        <v>41</v>
      </c>
      <c r="B230" s="24" t="s">
        <v>101</v>
      </c>
      <c r="C230" s="53" t="s">
        <v>258</v>
      </c>
      <c r="D230" s="52">
        <v>0.48</v>
      </c>
      <c r="E230" s="52">
        <v>1.89</v>
      </c>
      <c r="F230" s="52">
        <v>3.09</v>
      </c>
      <c r="G230" s="52">
        <v>31.2</v>
      </c>
      <c r="H230" s="52">
        <v>3.84</v>
      </c>
    </row>
    <row r="231" spans="1:8" ht="89.25" thickBot="1">
      <c r="A231" s="54">
        <v>13</v>
      </c>
      <c r="B231" s="50" t="s">
        <v>7</v>
      </c>
      <c r="C231" s="34">
        <v>180</v>
      </c>
      <c r="D231" s="52">
        <v>0</v>
      </c>
      <c r="E231" s="52">
        <v>0</v>
      </c>
      <c r="F231" s="52">
        <v>10.78</v>
      </c>
      <c r="G231" s="52">
        <v>36</v>
      </c>
      <c r="H231" s="52">
        <v>0</v>
      </c>
    </row>
    <row r="232" spans="1:8" ht="89.25" thickBot="1">
      <c r="A232" s="47">
        <v>16</v>
      </c>
      <c r="B232" s="24" t="s">
        <v>36</v>
      </c>
      <c r="C232" s="53" t="s">
        <v>240</v>
      </c>
      <c r="D232" s="52">
        <v>1.56</v>
      </c>
      <c r="E232" s="52">
        <v>3.73</v>
      </c>
      <c r="F232" s="52">
        <v>9.9</v>
      </c>
      <c r="G232" s="52">
        <v>79</v>
      </c>
      <c r="H232" s="52">
        <v>0</v>
      </c>
    </row>
    <row r="233" spans="1:8" ht="89.25" thickBot="1">
      <c r="A233" s="47"/>
      <c r="B233" s="24" t="s">
        <v>6</v>
      </c>
      <c r="C233" s="35">
        <f>C229+C230+C231+C232</f>
        <v>345</v>
      </c>
      <c r="D233" s="52">
        <f>SUM(D229:D232)</f>
        <v>7.710000000000001</v>
      </c>
      <c r="E233" s="52">
        <f>SUM(E229:E232)</f>
        <v>10.299999999999999</v>
      </c>
      <c r="F233" s="52">
        <f>SUM(F229:F232)</f>
        <v>49.309999999999995</v>
      </c>
      <c r="G233" s="52">
        <f>SUM(G229:G232)</f>
        <v>311.76</v>
      </c>
      <c r="H233" s="52">
        <f>SUM(H229:H232)</f>
        <v>3.84</v>
      </c>
    </row>
    <row r="234" spans="1:8" ht="89.25" thickBot="1">
      <c r="A234" s="172" t="s">
        <v>53</v>
      </c>
      <c r="B234" s="173"/>
      <c r="C234" s="173"/>
      <c r="D234" s="173"/>
      <c r="E234" s="173"/>
      <c r="F234" s="173"/>
      <c r="G234" s="173"/>
      <c r="H234" s="174"/>
    </row>
    <row r="235" spans="1:8" ht="89.25" thickBot="1">
      <c r="A235" s="47" t="s">
        <v>32</v>
      </c>
      <c r="B235" s="24" t="s">
        <v>182</v>
      </c>
      <c r="C235" s="53" t="s">
        <v>26</v>
      </c>
      <c r="D235" s="52">
        <v>0.2</v>
      </c>
      <c r="E235" s="52">
        <v>0.11</v>
      </c>
      <c r="F235" s="52">
        <v>10.11</v>
      </c>
      <c r="G235" s="52">
        <v>46</v>
      </c>
      <c r="H235" s="52">
        <v>2</v>
      </c>
    </row>
    <row r="236" spans="1:8" ht="89.25" thickBot="1">
      <c r="A236" s="47"/>
      <c r="B236" s="24" t="s">
        <v>6</v>
      </c>
      <c r="C236" s="51" t="s">
        <v>26</v>
      </c>
      <c r="D236" s="52">
        <f>SUM(D235)</f>
        <v>0.2</v>
      </c>
      <c r="E236" s="52">
        <f>SUM(E235)</f>
        <v>0.11</v>
      </c>
      <c r="F236" s="52">
        <f>SUM(F235)</f>
        <v>10.11</v>
      </c>
      <c r="G236" s="52">
        <f>SUM(G235)</f>
        <v>46</v>
      </c>
      <c r="H236" s="52">
        <f>SUM(H235)</f>
        <v>2</v>
      </c>
    </row>
    <row r="237" spans="1:8" ht="89.25" thickBot="1">
      <c r="A237" s="172" t="s">
        <v>8</v>
      </c>
      <c r="B237" s="173"/>
      <c r="C237" s="173"/>
      <c r="D237" s="173"/>
      <c r="E237" s="173"/>
      <c r="F237" s="173"/>
      <c r="G237" s="173"/>
      <c r="H237" s="174"/>
    </row>
    <row r="238" spans="1:8" ht="177.75" thickBot="1">
      <c r="A238" s="54">
        <v>12</v>
      </c>
      <c r="B238" s="24" t="s">
        <v>227</v>
      </c>
      <c r="C238" s="34">
        <v>30</v>
      </c>
      <c r="D238" s="52">
        <v>0.47</v>
      </c>
      <c r="E238" s="52">
        <v>3</v>
      </c>
      <c r="F238" s="52">
        <v>3.1</v>
      </c>
      <c r="G238" s="52">
        <v>43.34</v>
      </c>
      <c r="H238" s="52">
        <v>1.34</v>
      </c>
    </row>
    <row r="239" spans="1:8" ht="177.75" thickBot="1">
      <c r="A239" s="47">
        <v>47</v>
      </c>
      <c r="B239" s="24" t="s">
        <v>75</v>
      </c>
      <c r="C239" s="51" t="s">
        <v>27</v>
      </c>
      <c r="D239" s="52">
        <v>4.76</v>
      </c>
      <c r="E239" s="52">
        <v>3.09</v>
      </c>
      <c r="F239" s="52">
        <v>13.13</v>
      </c>
      <c r="G239" s="52">
        <v>89.15</v>
      </c>
      <c r="H239" s="52">
        <v>3.62</v>
      </c>
    </row>
    <row r="240" spans="1:8" ht="89.25" thickBot="1">
      <c r="A240" s="47">
        <v>80</v>
      </c>
      <c r="B240" s="24" t="s">
        <v>173</v>
      </c>
      <c r="C240" s="34">
        <v>60</v>
      </c>
      <c r="D240" s="52">
        <v>11.66</v>
      </c>
      <c r="E240" s="52">
        <v>10.89</v>
      </c>
      <c r="F240" s="52">
        <v>1.54</v>
      </c>
      <c r="G240" s="52">
        <v>150</v>
      </c>
      <c r="H240" s="52">
        <v>0.22</v>
      </c>
    </row>
    <row r="241" spans="1:8" ht="177.75" thickBot="1">
      <c r="A241" s="64">
        <v>42</v>
      </c>
      <c r="B241" s="65" t="s">
        <v>152</v>
      </c>
      <c r="C241" s="66">
        <v>75</v>
      </c>
      <c r="D241" s="67">
        <v>2.71</v>
      </c>
      <c r="E241" s="67">
        <v>2.41</v>
      </c>
      <c r="F241" s="67">
        <v>15.89</v>
      </c>
      <c r="G241" s="67">
        <v>92</v>
      </c>
      <c r="H241" s="67">
        <v>0</v>
      </c>
    </row>
    <row r="242" spans="1:8" ht="177.75" thickBot="1">
      <c r="A242" s="47">
        <v>9</v>
      </c>
      <c r="B242" s="24" t="s">
        <v>43</v>
      </c>
      <c r="C242" s="34">
        <v>150</v>
      </c>
      <c r="D242" s="52">
        <v>0.33</v>
      </c>
      <c r="E242" s="52">
        <v>0</v>
      </c>
      <c r="F242" s="52">
        <v>16.67</v>
      </c>
      <c r="G242" s="52">
        <v>70</v>
      </c>
      <c r="H242" s="52">
        <v>0.3</v>
      </c>
    </row>
    <row r="243" spans="1:8" ht="177.75" thickBot="1">
      <c r="A243" s="47" t="s">
        <v>32</v>
      </c>
      <c r="B243" s="24" t="s">
        <v>56</v>
      </c>
      <c r="C243" s="34">
        <v>20</v>
      </c>
      <c r="D243" s="52">
        <v>1.6</v>
      </c>
      <c r="E243" s="52">
        <v>0.2</v>
      </c>
      <c r="F243" s="52">
        <v>9.64</v>
      </c>
      <c r="G243" s="52">
        <v>47.2</v>
      </c>
      <c r="H243" s="52">
        <v>0</v>
      </c>
    </row>
    <row r="244" spans="1:8" ht="177.75" thickBot="1">
      <c r="A244" s="47" t="s">
        <v>32</v>
      </c>
      <c r="B244" s="24" t="s">
        <v>58</v>
      </c>
      <c r="C244" s="34">
        <v>40</v>
      </c>
      <c r="D244" s="52">
        <v>2.24</v>
      </c>
      <c r="E244" s="52">
        <v>0.48</v>
      </c>
      <c r="F244" s="52">
        <v>19.76</v>
      </c>
      <c r="G244" s="52">
        <v>92.8</v>
      </c>
      <c r="H244" s="52">
        <v>0</v>
      </c>
    </row>
    <row r="245" spans="1:8" ht="89.25" thickBot="1">
      <c r="A245" s="54"/>
      <c r="B245" s="26" t="s">
        <v>29</v>
      </c>
      <c r="C245" s="34">
        <f aca="true" t="shared" si="16" ref="C245:H245">C238+C239+C240+C241+C242+C243+C244</f>
        <v>525</v>
      </c>
      <c r="D245" s="48">
        <f t="shared" si="16"/>
        <v>23.770000000000003</v>
      </c>
      <c r="E245" s="48">
        <f t="shared" si="16"/>
        <v>20.07</v>
      </c>
      <c r="F245" s="48">
        <f t="shared" si="16"/>
        <v>79.73</v>
      </c>
      <c r="G245" s="48">
        <f t="shared" si="16"/>
        <v>584.49</v>
      </c>
      <c r="H245" s="48">
        <f t="shared" si="16"/>
        <v>5.4799999999999995</v>
      </c>
    </row>
    <row r="246" spans="1:8" ht="89.25" thickBot="1">
      <c r="A246" s="172" t="s">
        <v>145</v>
      </c>
      <c r="B246" s="173"/>
      <c r="C246" s="173"/>
      <c r="D246" s="173"/>
      <c r="E246" s="173"/>
      <c r="F246" s="173"/>
      <c r="G246" s="173"/>
      <c r="H246" s="174"/>
    </row>
    <row r="247" spans="1:8" ht="266.25" thickBot="1">
      <c r="A247" s="55">
        <v>21.1</v>
      </c>
      <c r="B247" s="56" t="s">
        <v>172</v>
      </c>
      <c r="C247" s="51" t="s">
        <v>27</v>
      </c>
      <c r="D247" s="48">
        <v>4.35</v>
      </c>
      <c r="E247" s="48">
        <v>4.8</v>
      </c>
      <c r="F247" s="48">
        <v>6</v>
      </c>
      <c r="G247" s="48">
        <v>88.5</v>
      </c>
      <c r="H247" s="48">
        <v>1.05</v>
      </c>
    </row>
    <row r="248" spans="1:8" ht="266.25" thickBot="1">
      <c r="A248" s="47">
        <v>24</v>
      </c>
      <c r="B248" s="24" t="s">
        <v>104</v>
      </c>
      <c r="C248" s="51" t="s">
        <v>155</v>
      </c>
      <c r="D248" s="52">
        <v>0.9</v>
      </c>
      <c r="E248" s="52">
        <v>1.17</v>
      </c>
      <c r="F248" s="52">
        <v>21</v>
      </c>
      <c r="G248" s="52">
        <v>86.33</v>
      </c>
      <c r="H248" s="52">
        <v>0</v>
      </c>
    </row>
    <row r="249" spans="1:8" ht="89.25" thickBot="1">
      <c r="A249" s="54"/>
      <c r="B249" s="24" t="s">
        <v>29</v>
      </c>
      <c r="C249" s="34">
        <f aca="true" t="shared" si="17" ref="C249:H249">C247+C248</f>
        <v>180</v>
      </c>
      <c r="D249" s="52">
        <f t="shared" si="17"/>
        <v>5.25</v>
      </c>
      <c r="E249" s="52">
        <f t="shared" si="17"/>
        <v>5.97</v>
      </c>
      <c r="F249" s="52">
        <f t="shared" si="17"/>
        <v>27</v>
      </c>
      <c r="G249" s="52">
        <f t="shared" si="17"/>
        <v>174.82999999999998</v>
      </c>
      <c r="H249" s="52">
        <f t="shared" si="17"/>
        <v>1.05</v>
      </c>
    </row>
    <row r="250" spans="1:8" ht="89.25" thickBot="1">
      <c r="A250" s="172" t="s">
        <v>144</v>
      </c>
      <c r="B250" s="173"/>
      <c r="C250" s="173"/>
      <c r="D250" s="173"/>
      <c r="E250" s="173"/>
      <c r="F250" s="173"/>
      <c r="G250" s="173"/>
      <c r="H250" s="174"/>
    </row>
    <row r="251" spans="1:8" ht="177.75" thickBot="1">
      <c r="A251" s="54">
        <v>23</v>
      </c>
      <c r="B251" s="26" t="s">
        <v>162</v>
      </c>
      <c r="C251" s="51" t="s">
        <v>27</v>
      </c>
      <c r="D251" s="48">
        <v>5.03</v>
      </c>
      <c r="E251" s="48">
        <v>5.3</v>
      </c>
      <c r="F251" s="48">
        <v>21.54</v>
      </c>
      <c r="G251" s="48">
        <v>152</v>
      </c>
      <c r="H251" s="48">
        <v>1.47</v>
      </c>
    </row>
    <row r="252" spans="1:8" ht="177.75" thickBot="1">
      <c r="A252" s="47" t="s">
        <v>32</v>
      </c>
      <c r="B252" s="24" t="s">
        <v>56</v>
      </c>
      <c r="C252" s="34">
        <v>15</v>
      </c>
      <c r="D252" s="52">
        <v>1.2</v>
      </c>
      <c r="E252" s="52">
        <v>0.15</v>
      </c>
      <c r="F252" s="52">
        <v>7.23</v>
      </c>
      <c r="G252" s="52">
        <v>35.4</v>
      </c>
      <c r="H252" s="52">
        <v>0</v>
      </c>
    </row>
    <row r="253" spans="1:8" ht="177.75" thickBot="1">
      <c r="A253" s="47">
        <v>69</v>
      </c>
      <c r="B253" s="24" t="s">
        <v>106</v>
      </c>
      <c r="C253" s="51" t="s">
        <v>253</v>
      </c>
      <c r="D253" s="52">
        <v>0.34</v>
      </c>
      <c r="E253" s="52">
        <v>0.34</v>
      </c>
      <c r="F253" s="52">
        <v>8.33</v>
      </c>
      <c r="G253" s="52">
        <v>39.95</v>
      </c>
      <c r="H253" s="52">
        <v>8.5</v>
      </c>
    </row>
    <row r="254" spans="1:8" ht="177.75" thickBot="1">
      <c r="A254" s="47">
        <v>2</v>
      </c>
      <c r="B254" s="24" t="s">
        <v>69</v>
      </c>
      <c r="C254" s="34">
        <v>180</v>
      </c>
      <c r="D254" s="48">
        <v>2.92</v>
      </c>
      <c r="E254" s="48">
        <v>3.08</v>
      </c>
      <c r="F254" s="48">
        <v>12.41</v>
      </c>
      <c r="G254" s="48">
        <v>86</v>
      </c>
      <c r="H254" s="48">
        <v>1.17</v>
      </c>
    </row>
    <row r="255" spans="1:8" ht="89.25" thickBot="1">
      <c r="A255" s="42"/>
      <c r="B255" s="24" t="s">
        <v>6</v>
      </c>
      <c r="C255" s="34">
        <f aca="true" t="shared" si="18" ref="C255:H255">C251+C252+C253+C254</f>
        <v>430</v>
      </c>
      <c r="D255" s="52">
        <f t="shared" si="18"/>
        <v>9.49</v>
      </c>
      <c r="E255" s="52">
        <f t="shared" si="18"/>
        <v>8.870000000000001</v>
      </c>
      <c r="F255" s="52">
        <f t="shared" si="18"/>
        <v>49.510000000000005</v>
      </c>
      <c r="G255" s="52">
        <f t="shared" si="18"/>
        <v>313.35</v>
      </c>
      <c r="H255" s="52">
        <f t="shared" si="18"/>
        <v>11.14</v>
      </c>
    </row>
    <row r="256" spans="1:8" ht="89.25" thickBot="1">
      <c r="A256" s="47"/>
      <c r="B256" s="24"/>
      <c r="C256" s="51"/>
      <c r="D256" s="40" t="s">
        <v>0</v>
      </c>
      <c r="E256" s="41" t="s">
        <v>1</v>
      </c>
      <c r="F256" s="41" t="s">
        <v>2</v>
      </c>
      <c r="G256" s="149" t="s">
        <v>3</v>
      </c>
      <c r="H256" s="41" t="s">
        <v>4</v>
      </c>
    </row>
    <row r="257" spans="1:8" ht="89.25" thickBot="1">
      <c r="A257" s="47"/>
      <c r="B257" s="58" t="s">
        <v>10</v>
      </c>
      <c r="C257" s="51"/>
      <c r="D257" s="52">
        <f>D233+D236+D245+D249+D255</f>
        <v>46.42000000000001</v>
      </c>
      <c r="E257" s="52">
        <f>E233+E236+E245+E249+E255</f>
        <v>45.31999999999999</v>
      </c>
      <c r="F257" s="52">
        <f>F233+F236+F245+F249+F255</f>
        <v>215.66000000000003</v>
      </c>
      <c r="G257" s="52">
        <f>G233+G236+G245+G249+G255</f>
        <v>1430.4299999999998</v>
      </c>
      <c r="H257" s="52">
        <f>H233+H236+H245+H249+H255</f>
        <v>23.51</v>
      </c>
    </row>
    <row r="258" spans="1:8" ht="136.5" customHeight="1" thickBot="1">
      <c r="A258" s="47"/>
      <c r="B258" s="58" t="s">
        <v>11</v>
      </c>
      <c r="C258" s="51"/>
      <c r="D258" s="52">
        <v>42</v>
      </c>
      <c r="E258" s="52">
        <v>47</v>
      </c>
      <c r="F258" s="52">
        <v>203</v>
      </c>
      <c r="G258" s="52">
        <v>1400</v>
      </c>
      <c r="H258" s="52">
        <v>45</v>
      </c>
    </row>
    <row r="259" spans="1:8" ht="185.25" customHeight="1" thickBot="1">
      <c r="A259" s="42"/>
      <c r="B259" s="59" t="s">
        <v>12</v>
      </c>
      <c r="C259" s="41"/>
      <c r="D259" s="60">
        <f>D257*100/D258</f>
        <v>110.52380952380955</v>
      </c>
      <c r="E259" s="60">
        <f>E257*100/E258</f>
        <v>96.4255319148936</v>
      </c>
      <c r="F259" s="60">
        <f>F257*100/F258</f>
        <v>106.23645320197046</v>
      </c>
      <c r="G259" s="60">
        <f>G257*100/G258</f>
        <v>102.1735714285714</v>
      </c>
      <c r="H259" s="60">
        <f>H257*100/H258</f>
        <v>52.24444444444445</v>
      </c>
    </row>
    <row r="260" spans="1:8" ht="88.5">
      <c r="A260" s="61"/>
      <c r="B260" s="147"/>
      <c r="C260" s="146"/>
      <c r="D260" s="62"/>
      <c r="E260" s="62"/>
      <c r="F260" s="62"/>
      <c r="G260" s="62"/>
      <c r="H260" s="62"/>
    </row>
    <row r="261" spans="1:8" ht="88.5">
      <c r="A261" s="61"/>
      <c r="B261" s="38" t="s">
        <v>68</v>
      </c>
      <c r="C261" s="38"/>
      <c r="E261" s="62"/>
      <c r="F261" s="62"/>
      <c r="G261" s="62"/>
      <c r="H261" s="62"/>
    </row>
    <row r="262" spans="1:2" ht="102">
      <c r="A262" s="61"/>
      <c r="B262" s="38" t="s">
        <v>271</v>
      </c>
    </row>
    <row r="263" spans="1:2" ht="88.5">
      <c r="A263" s="61"/>
      <c r="B263" s="38" t="s">
        <v>67</v>
      </c>
    </row>
    <row r="264" spans="1:2" ht="88.5">
      <c r="A264" s="61"/>
      <c r="B264" s="38" t="s">
        <v>149</v>
      </c>
    </row>
    <row r="265" spans="1:8" ht="88.5">
      <c r="A265" s="61"/>
      <c r="B265" s="147"/>
      <c r="C265" s="146"/>
      <c r="D265" s="62"/>
      <c r="E265" s="62"/>
      <c r="F265" s="62"/>
      <c r="G265" s="62"/>
      <c r="H265" s="62"/>
    </row>
    <row r="266" spans="1:8" ht="88.5">
      <c r="A266" s="175" t="s">
        <v>184</v>
      </c>
      <c r="B266" s="175"/>
      <c r="C266" s="175"/>
      <c r="D266" s="175"/>
      <c r="E266" s="175"/>
      <c r="F266" s="175"/>
      <c r="G266" s="175"/>
      <c r="H266" s="175"/>
    </row>
    <row r="267" spans="1:8" ht="88.5">
      <c r="A267" s="175" t="s">
        <v>52</v>
      </c>
      <c r="B267" s="175"/>
      <c r="C267" s="175"/>
      <c r="D267" s="175"/>
      <c r="E267" s="175"/>
      <c r="F267" s="175"/>
      <c r="G267" s="175"/>
      <c r="H267" s="175"/>
    </row>
    <row r="268" spans="1:8" ht="88.5">
      <c r="A268" s="176" t="s">
        <v>64</v>
      </c>
      <c r="B268" s="176"/>
      <c r="C268" s="176"/>
      <c r="D268" s="176"/>
      <c r="E268" s="176"/>
      <c r="F268" s="176"/>
      <c r="G268" s="176"/>
      <c r="H268" s="176"/>
    </row>
    <row r="269" spans="1:8" ht="89.25" thickBot="1">
      <c r="A269" s="177"/>
      <c r="B269" s="177"/>
      <c r="C269" s="177"/>
      <c r="D269" s="177"/>
      <c r="E269" s="177"/>
      <c r="F269" s="177"/>
      <c r="G269" s="177"/>
      <c r="H269" s="177"/>
    </row>
    <row r="270" spans="1:8" ht="89.25" thickBot="1">
      <c r="A270" s="178" t="s">
        <v>30</v>
      </c>
      <c r="B270" s="180" t="s">
        <v>50</v>
      </c>
      <c r="C270" s="183" t="s">
        <v>111</v>
      </c>
      <c r="D270" s="172" t="s">
        <v>24</v>
      </c>
      <c r="E270" s="173"/>
      <c r="F270" s="174"/>
      <c r="G270" s="180" t="s">
        <v>51</v>
      </c>
      <c r="H270" s="180" t="s">
        <v>112</v>
      </c>
    </row>
    <row r="271" spans="1:8" ht="89.25" thickBot="1">
      <c r="A271" s="179"/>
      <c r="B271" s="181"/>
      <c r="C271" s="184"/>
      <c r="D271" s="40" t="s">
        <v>0</v>
      </c>
      <c r="E271" s="41" t="s">
        <v>1</v>
      </c>
      <c r="F271" s="41" t="s">
        <v>2</v>
      </c>
      <c r="G271" s="181"/>
      <c r="H271" s="181"/>
    </row>
    <row r="272" spans="1:8" ht="89.25" thickBot="1">
      <c r="A272" s="148">
        <v>1</v>
      </c>
      <c r="B272" s="43">
        <v>2</v>
      </c>
      <c r="C272" s="44">
        <v>3</v>
      </c>
      <c r="D272" s="63">
        <v>4</v>
      </c>
      <c r="E272" s="43">
        <v>5</v>
      </c>
      <c r="F272" s="43">
        <v>6</v>
      </c>
      <c r="G272" s="43">
        <v>7</v>
      </c>
      <c r="H272" s="43">
        <v>8</v>
      </c>
    </row>
    <row r="273" spans="1:8" ht="89.25" thickBot="1">
      <c r="A273" s="172" t="s">
        <v>5</v>
      </c>
      <c r="B273" s="173"/>
      <c r="C273" s="173"/>
      <c r="D273" s="173"/>
      <c r="E273" s="173"/>
      <c r="F273" s="173"/>
      <c r="G273" s="173"/>
      <c r="H273" s="174"/>
    </row>
    <row r="274" spans="1:8" ht="89.25" thickBot="1">
      <c r="A274" s="47">
        <v>14</v>
      </c>
      <c r="B274" s="26" t="s">
        <v>176</v>
      </c>
      <c r="C274" s="34">
        <v>150</v>
      </c>
      <c r="D274" s="52">
        <v>5.32</v>
      </c>
      <c r="E274" s="52">
        <v>5.58</v>
      </c>
      <c r="F274" s="52">
        <v>25.12</v>
      </c>
      <c r="G274" s="60">
        <v>170</v>
      </c>
      <c r="H274" s="60">
        <v>1.47</v>
      </c>
    </row>
    <row r="275" spans="1:8" ht="89.25" thickBot="1">
      <c r="A275" s="54">
        <v>15</v>
      </c>
      <c r="B275" s="50" t="s">
        <v>224</v>
      </c>
      <c r="C275" s="34">
        <v>180</v>
      </c>
      <c r="D275" s="52">
        <v>2.79</v>
      </c>
      <c r="E275" s="52">
        <v>3.04</v>
      </c>
      <c r="F275" s="52">
        <v>12.32</v>
      </c>
      <c r="G275" s="52">
        <v>87</v>
      </c>
      <c r="H275" s="52">
        <v>1.17</v>
      </c>
    </row>
    <row r="276" spans="1:8" ht="89.25" thickBot="1">
      <c r="A276" s="47">
        <v>16</v>
      </c>
      <c r="B276" s="24" t="s">
        <v>36</v>
      </c>
      <c r="C276" s="53" t="s">
        <v>240</v>
      </c>
      <c r="D276" s="52">
        <v>1.56</v>
      </c>
      <c r="E276" s="52">
        <v>3.73</v>
      </c>
      <c r="F276" s="52">
        <v>9.9</v>
      </c>
      <c r="G276" s="52">
        <v>79</v>
      </c>
      <c r="H276" s="52">
        <v>0</v>
      </c>
    </row>
    <row r="277" spans="1:8" ht="89.25" thickBot="1">
      <c r="A277" s="47"/>
      <c r="B277" s="24" t="s">
        <v>6</v>
      </c>
      <c r="C277" s="34">
        <f>C274+C275+C276</f>
        <v>355</v>
      </c>
      <c r="D277" s="52">
        <f>SUM(D274:D276)</f>
        <v>9.67</v>
      </c>
      <c r="E277" s="52">
        <f>SUM(E274:E276)</f>
        <v>12.350000000000001</v>
      </c>
      <c r="F277" s="52">
        <f>SUM(F274:F276)</f>
        <v>47.339999999999996</v>
      </c>
      <c r="G277" s="52">
        <f>SUM(G274:G276)</f>
        <v>336</v>
      </c>
      <c r="H277" s="52">
        <f>SUM(H274:H276)</f>
        <v>2.6399999999999997</v>
      </c>
    </row>
    <row r="278" spans="1:8" ht="89.25" thickBot="1">
      <c r="A278" s="172" t="s">
        <v>53</v>
      </c>
      <c r="B278" s="173"/>
      <c r="C278" s="173"/>
      <c r="D278" s="173"/>
      <c r="E278" s="173"/>
      <c r="F278" s="173"/>
      <c r="G278" s="173"/>
      <c r="H278" s="174"/>
    </row>
    <row r="279" spans="1:8" ht="89.25" thickBot="1">
      <c r="A279" s="35" t="s">
        <v>32</v>
      </c>
      <c r="B279" s="56" t="s">
        <v>182</v>
      </c>
      <c r="C279" s="51" t="s">
        <v>26</v>
      </c>
      <c r="D279" s="48">
        <v>0.2</v>
      </c>
      <c r="E279" s="48">
        <v>0.11</v>
      </c>
      <c r="F279" s="48">
        <v>10.11</v>
      </c>
      <c r="G279" s="48">
        <v>46</v>
      </c>
      <c r="H279" s="48">
        <v>2</v>
      </c>
    </row>
    <row r="280" spans="1:8" ht="89.25" thickBot="1">
      <c r="A280" s="47"/>
      <c r="B280" s="24" t="s">
        <v>6</v>
      </c>
      <c r="C280" s="60" t="s">
        <v>26</v>
      </c>
      <c r="D280" s="52">
        <v>0.2</v>
      </c>
      <c r="E280" s="52">
        <v>0.11</v>
      </c>
      <c r="F280" s="52">
        <v>10.11</v>
      </c>
      <c r="G280" s="52">
        <v>46</v>
      </c>
      <c r="H280" s="52">
        <v>2</v>
      </c>
    </row>
    <row r="281" spans="1:8" ht="89.25" thickBot="1">
      <c r="A281" s="172" t="s">
        <v>8</v>
      </c>
      <c r="B281" s="173"/>
      <c r="C281" s="173"/>
      <c r="D281" s="173"/>
      <c r="E281" s="173"/>
      <c r="F281" s="173"/>
      <c r="G281" s="173"/>
      <c r="H281" s="174"/>
    </row>
    <row r="282" spans="1:8" ht="266.25" thickBot="1">
      <c r="A282" s="54">
        <v>38</v>
      </c>
      <c r="B282" s="24" t="s">
        <v>268</v>
      </c>
      <c r="C282" s="34">
        <v>35</v>
      </c>
      <c r="D282" s="52">
        <v>1.75</v>
      </c>
      <c r="E282" s="52">
        <v>0.07</v>
      </c>
      <c r="F282" s="52">
        <v>2.91</v>
      </c>
      <c r="G282" s="52">
        <v>19.25</v>
      </c>
      <c r="H282" s="52">
        <v>3.5</v>
      </c>
    </row>
    <row r="283" spans="1:8" ht="177.75" thickBot="1">
      <c r="A283" s="47">
        <v>70</v>
      </c>
      <c r="B283" s="24" t="s">
        <v>41</v>
      </c>
      <c r="C283" s="51" t="s">
        <v>27</v>
      </c>
      <c r="D283" s="52">
        <v>2.54</v>
      </c>
      <c r="E283" s="52">
        <v>3.9</v>
      </c>
      <c r="F283" s="52">
        <v>8.27</v>
      </c>
      <c r="G283" s="52">
        <v>87.08</v>
      </c>
      <c r="H283" s="52">
        <v>5.98</v>
      </c>
    </row>
    <row r="284" spans="1:8" ht="177.75" thickBot="1">
      <c r="A284" s="54">
        <v>58</v>
      </c>
      <c r="B284" s="24" t="s">
        <v>178</v>
      </c>
      <c r="C284" s="51" t="s">
        <v>28</v>
      </c>
      <c r="D284" s="52">
        <v>9.45</v>
      </c>
      <c r="E284" s="52">
        <v>4.46</v>
      </c>
      <c r="F284" s="52">
        <v>1.4</v>
      </c>
      <c r="G284" s="52">
        <v>82.46</v>
      </c>
      <c r="H284" s="52">
        <v>1.16</v>
      </c>
    </row>
    <row r="285" spans="1:8" ht="89.25" thickBot="1">
      <c r="A285" s="54">
        <v>8</v>
      </c>
      <c r="B285" s="24" t="s">
        <v>37</v>
      </c>
      <c r="C285" s="34">
        <v>115</v>
      </c>
      <c r="D285" s="52">
        <v>2.33</v>
      </c>
      <c r="E285" s="52">
        <v>4.01</v>
      </c>
      <c r="F285" s="52">
        <v>13.85</v>
      </c>
      <c r="G285" s="52">
        <v>108.87</v>
      </c>
      <c r="H285" s="52">
        <v>8.05</v>
      </c>
    </row>
    <row r="286" spans="1:8" ht="89.25" thickBot="1">
      <c r="A286" s="47">
        <v>9</v>
      </c>
      <c r="B286" s="26" t="s">
        <v>225</v>
      </c>
      <c r="C286" s="53" t="s">
        <v>27</v>
      </c>
      <c r="D286" s="52">
        <v>0.78</v>
      </c>
      <c r="E286" s="52">
        <v>0</v>
      </c>
      <c r="F286" s="52">
        <v>18.23</v>
      </c>
      <c r="G286" s="52">
        <v>75</v>
      </c>
      <c r="H286" s="52">
        <v>0.6</v>
      </c>
    </row>
    <row r="287" spans="1:8" ht="177.75" thickBot="1">
      <c r="A287" s="47" t="s">
        <v>32</v>
      </c>
      <c r="B287" s="24" t="s">
        <v>56</v>
      </c>
      <c r="C287" s="34">
        <v>20</v>
      </c>
      <c r="D287" s="52">
        <v>1.6</v>
      </c>
      <c r="E287" s="52">
        <v>0.2</v>
      </c>
      <c r="F287" s="52">
        <v>9.64</v>
      </c>
      <c r="G287" s="52">
        <v>47.2</v>
      </c>
      <c r="H287" s="52">
        <v>0</v>
      </c>
    </row>
    <row r="288" spans="1:8" ht="177.75" thickBot="1">
      <c r="A288" s="47" t="s">
        <v>32</v>
      </c>
      <c r="B288" s="24" t="s">
        <v>58</v>
      </c>
      <c r="C288" s="34">
        <v>40</v>
      </c>
      <c r="D288" s="52">
        <v>2.24</v>
      </c>
      <c r="E288" s="52">
        <v>0.48</v>
      </c>
      <c r="F288" s="52">
        <v>19.76</v>
      </c>
      <c r="G288" s="52">
        <v>92.8</v>
      </c>
      <c r="H288" s="52">
        <v>0</v>
      </c>
    </row>
    <row r="289" spans="1:8" ht="89.25" thickBot="1">
      <c r="A289" s="54"/>
      <c r="B289" s="26" t="s">
        <v>29</v>
      </c>
      <c r="C289" s="34">
        <f aca="true" t="shared" si="19" ref="C289:H289">C282+C283+C284+C285+C286+C287+C288</f>
        <v>590</v>
      </c>
      <c r="D289" s="48">
        <f t="shared" si="19"/>
        <v>20.690000000000005</v>
      </c>
      <c r="E289" s="48">
        <f t="shared" si="19"/>
        <v>13.12</v>
      </c>
      <c r="F289" s="48">
        <f t="shared" si="19"/>
        <v>74.06</v>
      </c>
      <c r="G289" s="48">
        <f t="shared" si="19"/>
        <v>512.66</v>
      </c>
      <c r="H289" s="48">
        <f t="shared" si="19"/>
        <v>19.290000000000003</v>
      </c>
    </row>
    <row r="290" spans="1:8" ht="89.25" thickBot="1">
      <c r="A290" s="172" t="s">
        <v>145</v>
      </c>
      <c r="B290" s="173"/>
      <c r="C290" s="173"/>
      <c r="D290" s="173"/>
      <c r="E290" s="173"/>
      <c r="F290" s="173"/>
      <c r="G290" s="173"/>
      <c r="H290" s="174"/>
    </row>
    <row r="291" spans="1:8" ht="266.25" thickBot="1">
      <c r="A291" s="55">
        <v>21.1</v>
      </c>
      <c r="B291" s="56" t="s">
        <v>172</v>
      </c>
      <c r="C291" s="51" t="s">
        <v>27</v>
      </c>
      <c r="D291" s="48">
        <v>4.35</v>
      </c>
      <c r="E291" s="48">
        <v>4.8</v>
      </c>
      <c r="F291" s="48">
        <v>6</v>
      </c>
      <c r="G291" s="48">
        <v>88.5</v>
      </c>
      <c r="H291" s="48">
        <v>1.05</v>
      </c>
    </row>
    <row r="292" spans="1:8" ht="89.25" thickBot="1">
      <c r="A292" s="47">
        <v>17</v>
      </c>
      <c r="B292" s="50" t="s">
        <v>210</v>
      </c>
      <c r="C292" s="51" t="s">
        <v>34</v>
      </c>
      <c r="D292" s="52">
        <v>3.53</v>
      </c>
      <c r="E292" s="52">
        <v>5.87</v>
      </c>
      <c r="F292" s="52">
        <v>33.11</v>
      </c>
      <c r="G292" s="52">
        <v>214.28</v>
      </c>
      <c r="H292" s="52">
        <v>0.07</v>
      </c>
    </row>
    <row r="293" spans="1:8" ht="89.25" thickBot="1">
      <c r="A293" s="54"/>
      <c r="B293" s="24" t="s">
        <v>29</v>
      </c>
      <c r="C293" s="34">
        <v>210</v>
      </c>
      <c r="D293" s="52">
        <f>D291+D292</f>
        <v>7.879999999999999</v>
      </c>
      <c r="E293" s="52">
        <f>E291+E292</f>
        <v>10.67</v>
      </c>
      <c r="F293" s="52">
        <f>F291+F292</f>
        <v>39.11</v>
      </c>
      <c r="G293" s="52">
        <f>G291+G292</f>
        <v>302.78</v>
      </c>
      <c r="H293" s="52">
        <f>H291+H292</f>
        <v>1.12</v>
      </c>
    </row>
    <row r="294" spans="1:8" ht="89.25" thickBot="1">
      <c r="A294" s="172" t="s">
        <v>144</v>
      </c>
      <c r="B294" s="173"/>
      <c r="C294" s="173"/>
      <c r="D294" s="173"/>
      <c r="E294" s="173"/>
      <c r="F294" s="173"/>
      <c r="G294" s="173"/>
      <c r="H294" s="174"/>
    </row>
    <row r="295" spans="1:8" ht="89.25" thickBot="1">
      <c r="A295" s="47">
        <v>27</v>
      </c>
      <c r="B295" s="24" t="s">
        <v>73</v>
      </c>
      <c r="C295" s="34">
        <v>230</v>
      </c>
      <c r="D295" s="52">
        <v>3.84</v>
      </c>
      <c r="E295" s="52">
        <v>6.18</v>
      </c>
      <c r="F295" s="52">
        <v>17.25</v>
      </c>
      <c r="G295" s="52">
        <v>163</v>
      </c>
      <c r="H295" s="52">
        <v>10.76</v>
      </c>
    </row>
    <row r="296" spans="1:8" ht="177.75" thickBot="1">
      <c r="A296" s="47" t="s">
        <v>32</v>
      </c>
      <c r="B296" s="24" t="s">
        <v>56</v>
      </c>
      <c r="C296" s="34">
        <v>15</v>
      </c>
      <c r="D296" s="52">
        <v>1.2</v>
      </c>
      <c r="E296" s="52">
        <v>0.15</v>
      </c>
      <c r="F296" s="52">
        <v>7.23</v>
      </c>
      <c r="G296" s="52">
        <v>35.4</v>
      </c>
      <c r="H296" s="52">
        <v>0</v>
      </c>
    </row>
    <row r="297" spans="1:8" ht="177.75" thickBot="1">
      <c r="A297" s="47">
        <v>69</v>
      </c>
      <c r="B297" s="24" t="s">
        <v>106</v>
      </c>
      <c r="C297" s="51" t="s">
        <v>253</v>
      </c>
      <c r="D297" s="52">
        <v>0.34</v>
      </c>
      <c r="E297" s="52">
        <v>0.34</v>
      </c>
      <c r="F297" s="52">
        <v>8.33</v>
      </c>
      <c r="G297" s="52">
        <v>39.95</v>
      </c>
      <c r="H297" s="52">
        <v>8.5</v>
      </c>
    </row>
    <row r="298" spans="1:8" ht="89.25" thickBot="1">
      <c r="A298" s="49">
        <v>31</v>
      </c>
      <c r="B298" s="50" t="s">
        <v>9</v>
      </c>
      <c r="C298" s="34">
        <v>180</v>
      </c>
      <c r="D298" s="48">
        <v>0.05</v>
      </c>
      <c r="E298" s="48">
        <v>0</v>
      </c>
      <c r="F298" s="48">
        <v>10.92</v>
      </c>
      <c r="G298" s="48">
        <v>42</v>
      </c>
      <c r="H298" s="48">
        <v>1.92</v>
      </c>
    </row>
    <row r="299" spans="1:8" ht="89.25" thickBot="1">
      <c r="A299" s="42"/>
      <c r="B299" s="24" t="s">
        <v>6</v>
      </c>
      <c r="C299" s="34">
        <f aca="true" t="shared" si="20" ref="C299:H299">C295+C296+C297+C298</f>
        <v>510</v>
      </c>
      <c r="D299" s="52">
        <f t="shared" si="20"/>
        <v>5.43</v>
      </c>
      <c r="E299" s="52">
        <f t="shared" si="20"/>
        <v>6.67</v>
      </c>
      <c r="F299" s="52">
        <f t="shared" si="20"/>
        <v>43.730000000000004</v>
      </c>
      <c r="G299" s="52">
        <f t="shared" si="20"/>
        <v>280.35</v>
      </c>
      <c r="H299" s="52">
        <f t="shared" si="20"/>
        <v>21.18</v>
      </c>
    </row>
    <row r="300" spans="1:8" ht="89.25" thickBot="1">
      <c r="A300" s="47"/>
      <c r="B300" s="24"/>
      <c r="C300" s="51"/>
      <c r="D300" s="40" t="s">
        <v>0</v>
      </c>
      <c r="E300" s="41" t="s">
        <v>1</v>
      </c>
      <c r="F300" s="41" t="s">
        <v>2</v>
      </c>
      <c r="G300" s="149" t="s">
        <v>3</v>
      </c>
      <c r="H300" s="41" t="s">
        <v>4</v>
      </c>
    </row>
    <row r="301" spans="1:8" ht="89.25" thickBot="1">
      <c r="A301" s="47"/>
      <c r="B301" s="58" t="s">
        <v>10</v>
      </c>
      <c r="C301" s="51"/>
      <c r="D301" s="52">
        <f>D277+D280+D289+D293+D299</f>
        <v>43.87</v>
      </c>
      <c r="E301" s="52">
        <f>E277+E280+E289+E293+E299</f>
        <v>42.92</v>
      </c>
      <c r="F301" s="52">
        <f>F277+F280+F289+F293+F299</f>
        <v>214.35000000000002</v>
      </c>
      <c r="G301" s="52">
        <f>G277+G280+G289+G293+G299</f>
        <v>1477.79</v>
      </c>
      <c r="H301" s="52">
        <f>H277+H280+H289+H293+H299</f>
        <v>46.230000000000004</v>
      </c>
    </row>
    <row r="302" spans="1:8" ht="121.5" customHeight="1" thickBot="1">
      <c r="A302" s="47"/>
      <c r="B302" s="58" t="s">
        <v>11</v>
      </c>
      <c r="C302" s="51"/>
      <c r="D302" s="52">
        <v>42</v>
      </c>
      <c r="E302" s="52">
        <v>47</v>
      </c>
      <c r="F302" s="52">
        <v>203</v>
      </c>
      <c r="G302" s="52">
        <v>1400</v>
      </c>
      <c r="H302" s="52">
        <v>45</v>
      </c>
    </row>
    <row r="303" spans="1:8" ht="195" customHeight="1" thickBot="1">
      <c r="A303" s="42"/>
      <c r="B303" s="59" t="s">
        <v>12</v>
      </c>
      <c r="C303" s="41"/>
      <c r="D303" s="60">
        <f>D301*100/D302</f>
        <v>104.45238095238095</v>
      </c>
      <c r="E303" s="60">
        <f>E301*100/E302</f>
        <v>91.31914893617021</v>
      </c>
      <c r="F303" s="60">
        <f>F301*100/F302</f>
        <v>105.59113300492612</v>
      </c>
      <c r="G303" s="60">
        <f>G301*100/G302</f>
        <v>105.55642857142857</v>
      </c>
      <c r="H303" s="60">
        <f>H301*100/H302</f>
        <v>102.73333333333333</v>
      </c>
    </row>
    <row r="304" spans="1:8" ht="88.5">
      <c r="A304" s="61"/>
      <c r="B304" s="147"/>
      <c r="C304" s="146"/>
      <c r="D304" s="62"/>
      <c r="E304" s="62"/>
      <c r="F304" s="62"/>
      <c r="G304" s="62"/>
      <c r="H304" s="62"/>
    </row>
    <row r="305" spans="1:8" ht="88.5">
      <c r="A305" s="61"/>
      <c r="B305" s="38" t="s">
        <v>68</v>
      </c>
      <c r="C305" s="38"/>
      <c r="E305" s="62"/>
      <c r="F305" s="62"/>
      <c r="G305" s="62"/>
      <c r="H305" s="62"/>
    </row>
    <row r="306" spans="1:2" ht="102">
      <c r="A306" s="61"/>
      <c r="B306" s="38" t="s">
        <v>271</v>
      </c>
    </row>
    <row r="307" spans="1:2" ht="88.5">
      <c r="A307" s="61"/>
      <c r="B307" s="38" t="s">
        <v>67</v>
      </c>
    </row>
    <row r="308" spans="1:2" ht="88.5">
      <c r="A308" s="61"/>
      <c r="B308" s="38" t="s">
        <v>149</v>
      </c>
    </row>
    <row r="309" spans="1:8" ht="88.5">
      <c r="A309" s="61"/>
      <c r="B309" s="147"/>
      <c r="C309" s="146"/>
      <c r="D309" s="62"/>
      <c r="E309" s="62"/>
      <c r="F309" s="62"/>
      <c r="G309" s="62"/>
      <c r="H309" s="62"/>
    </row>
    <row r="310" spans="1:8" ht="88.5">
      <c r="A310" s="175" t="s">
        <v>196</v>
      </c>
      <c r="B310" s="175"/>
      <c r="C310" s="175"/>
      <c r="D310" s="175"/>
      <c r="E310" s="175"/>
      <c r="F310" s="175"/>
      <c r="G310" s="175"/>
      <c r="H310" s="175"/>
    </row>
    <row r="311" spans="1:8" ht="88.5">
      <c r="A311" s="175" t="s">
        <v>52</v>
      </c>
      <c r="B311" s="175"/>
      <c r="C311" s="175"/>
      <c r="D311" s="175"/>
      <c r="E311" s="175"/>
      <c r="F311" s="175"/>
      <c r="G311" s="175"/>
      <c r="H311" s="175"/>
    </row>
    <row r="312" spans="1:8" ht="88.5">
      <c r="A312" s="176" t="s">
        <v>64</v>
      </c>
      <c r="B312" s="176"/>
      <c r="C312" s="176"/>
      <c r="D312" s="176"/>
      <c r="E312" s="176"/>
      <c r="F312" s="176"/>
      <c r="G312" s="176"/>
      <c r="H312" s="176"/>
    </row>
    <row r="313" spans="1:8" ht="89.25" thickBot="1">
      <c r="A313" s="177"/>
      <c r="B313" s="177"/>
      <c r="C313" s="177"/>
      <c r="D313" s="177"/>
      <c r="E313" s="177"/>
      <c r="F313" s="177"/>
      <c r="G313" s="177"/>
      <c r="H313" s="177"/>
    </row>
    <row r="314" spans="1:8" ht="89.25" thickBot="1">
      <c r="A314" s="178" t="s">
        <v>30</v>
      </c>
      <c r="B314" s="180" t="s">
        <v>50</v>
      </c>
      <c r="C314" s="183" t="s">
        <v>111</v>
      </c>
      <c r="D314" s="172" t="s">
        <v>24</v>
      </c>
      <c r="E314" s="173"/>
      <c r="F314" s="174"/>
      <c r="G314" s="180" t="s">
        <v>51</v>
      </c>
      <c r="H314" s="180" t="s">
        <v>112</v>
      </c>
    </row>
    <row r="315" spans="1:8" ht="89.25" thickBot="1">
      <c r="A315" s="179"/>
      <c r="B315" s="181"/>
      <c r="C315" s="184"/>
      <c r="D315" s="40" t="s">
        <v>0</v>
      </c>
      <c r="E315" s="41" t="s">
        <v>1</v>
      </c>
      <c r="F315" s="41" t="s">
        <v>2</v>
      </c>
      <c r="G315" s="181"/>
      <c r="H315" s="181"/>
    </row>
    <row r="316" spans="1:8" ht="89.25" thickBot="1">
      <c r="A316" s="148">
        <v>1</v>
      </c>
      <c r="B316" s="43">
        <v>2</v>
      </c>
      <c r="C316" s="44">
        <v>3</v>
      </c>
      <c r="D316" s="63">
        <v>4</v>
      </c>
      <c r="E316" s="43">
        <v>5</v>
      </c>
      <c r="F316" s="43">
        <v>6</v>
      </c>
      <c r="G316" s="43">
        <v>7</v>
      </c>
      <c r="H316" s="43">
        <v>8</v>
      </c>
    </row>
    <row r="317" spans="1:8" ht="89.25" thickBot="1">
      <c r="A317" s="172" t="s">
        <v>5</v>
      </c>
      <c r="B317" s="173"/>
      <c r="C317" s="173"/>
      <c r="D317" s="173"/>
      <c r="E317" s="173"/>
      <c r="F317" s="173"/>
      <c r="G317" s="173"/>
      <c r="H317" s="174"/>
    </row>
    <row r="318" spans="1:8" ht="177.75" thickBot="1">
      <c r="A318" s="54">
        <v>32</v>
      </c>
      <c r="B318" s="26" t="s">
        <v>218</v>
      </c>
      <c r="C318" s="34">
        <v>150</v>
      </c>
      <c r="D318" s="48">
        <v>4.67</v>
      </c>
      <c r="E318" s="48">
        <v>5.2</v>
      </c>
      <c r="F318" s="48">
        <v>19.72</v>
      </c>
      <c r="G318" s="48">
        <v>144</v>
      </c>
      <c r="H318" s="48">
        <v>1.47</v>
      </c>
    </row>
    <row r="319" spans="1:8" ht="177.75" thickBot="1">
      <c r="A319" s="47">
        <v>2</v>
      </c>
      <c r="B319" s="24" t="s">
        <v>69</v>
      </c>
      <c r="C319" s="34">
        <v>180</v>
      </c>
      <c r="D319" s="48">
        <v>2.92</v>
      </c>
      <c r="E319" s="48">
        <v>3.08</v>
      </c>
      <c r="F319" s="48">
        <v>12.41</v>
      </c>
      <c r="G319" s="48">
        <v>86</v>
      </c>
      <c r="H319" s="48">
        <v>1.17</v>
      </c>
    </row>
    <row r="320" spans="1:8" ht="177.75" thickBot="1">
      <c r="A320" s="47">
        <v>3</v>
      </c>
      <c r="B320" s="24" t="s">
        <v>38</v>
      </c>
      <c r="C320" s="51" t="s">
        <v>259</v>
      </c>
      <c r="D320" s="52">
        <v>3.42</v>
      </c>
      <c r="E320" s="52">
        <v>6.09</v>
      </c>
      <c r="F320" s="52">
        <v>9.9</v>
      </c>
      <c r="G320" s="52">
        <v>108</v>
      </c>
      <c r="H320" s="52">
        <v>0.06</v>
      </c>
    </row>
    <row r="321" spans="1:8" ht="89.25" thickBot="1">
      <c r="A321" s="47"/>
      <c r="B321" s="24" t="s">
        <v>6</v>
      </c>
      <c r="C321" s="34">
        <f>C318+C319+C320</f>
        <v>363</v>
      </c>
      <c r="D321" s="52">
        <f>SUM(D318:D320)</f>
        <v>11.01</v>
      </c>
      <c r="E321" s="52">
        <f>SUM(E318:E320)</f>
        <v>14.370000000000001</v>
      </c>
      <c r="F321" s="52">
        <f>SUM(F318:F320)</f>
        <v>42.029999999999994</v>
      </c>
      <c r="G321" s="52">
        <f>SUM(G318:G320)</f>
        <v>338</v>
      </c>
      <c r="H321" s="52">
        <f>SUM(H318:H320)</f>
        <v>2.6999999999999997</v>
      </c>
    </row>
    <row r="322" spans="1:8" ht="89.25" thickBot="1">
      <c r="A322" s="172" t="s">
        <v>53</v>
      </c>
      <c r="B322" s="173"/>
      <c r="C322" s="173"/>
      <c r="D322" s="173"/>
      <c r="E322" s="173"/>
      <c r="F322" s="173"/>
      <c r="G322" s="173"/>
      <c r="H322" s="174"/>
    </row>
    <row r="323" spans="1:8" ht="89.25" thickBot="1">
      <c r="A323" s="47" t="s">
        <v>32</v>
      </c>
      <c r="B323" s="24" t="s">
        <v>182</v>
      </c>
      <c r="C323" s="53" t="s">
        <v>26</v>
      </c>
      <c r="D323" s="52">
        <v>0.2</v>
      </c>
      <c r="E323" s="52">
        <v>0.11</v>
      </c>
      <c r="F323" s="52">
        <v>10.11</v>
      </c>
      <c r="G323" s="52">
        <v>46</v>
      </c>
      <c r="H323" s="52">
        <v>2</v>
      </c>
    </row>
    <row r="324" spans="1:8" ht="89.25" thickBot="1">
      <c r="A324" s="47"/>
      <c r="B324" s="24" t="s">
        <v>6</v>
      </c>
      <c r="C324" s="51" t="s">
        <v>26</v>
      </c>
      <c r="D324" s="52">
        <f>SUM(D323)</f>
        <v>0.2</v>
      </c>
      <c r="E324" s="52">
        <f>SUM(E323)</f>
        <v>0.11</v>
      </c>
      <c r="F324" s="52">
        <f>SUM(F323)</f>
        <v>10.11</v>
      </c>
      <c r="G324" s="52">
        <f>SUM(G323)</f>
        <v>46</v>
      </c>
      <c r="H324" s="52">
        <f>SUM(H323)</f>
        <v>2</v>
      </c>
    </row>
    <row r="325" spans="1:8" ht="89.25" thickBot="1">
      <c r="A325" s="172" t="s">
        <v>8</v>
      </c>
      <c r="B325" s="173"/>
      <c r="C325" s="173"/>
      <c r="D325" s="173"/>
      <c r="E325" s="173"/>
      <c r="F325" s="173"/>
      <c r="G325" s="173"/>
      <c r="H325" s="174"/>
    </row>
    <row r="326" spans="1:8" ht="89.25" thickBot="1">
      <c r="A326" s="54">
        <v>51</v>
      </c>
      <c r="B326" s="24" t="s">
        <v>226</v>
      </c>
      <c r="C326" s="53" t="s">
        <v>155</v>
      </c>
      <c r="D326" s="52">
        <v>0.47</v>
      </c>
      <c r="E326" s="52">
        <v>2.44</v>
      </c>
      <c r="F326" s="52">
        <v>2.77</v>
      </c>
      <c r="G326" s="52">
        <v>35</v>
      </c>
      <c r="H326" s="52">
        <v>1.1</v>
      </c>
    </row>
    <row r="327" spans="1:8" ht="177.75" thickBot="1">
      <c r="A327" s="47">
        <v>46</v>
      </c>
      <c r="B327" s="24" t="s">
        <v>72</v>
      </c>
      <c r="C327" s="53" t="s">
        <v>27</v>
      </c>
      <c r="D327" s="52">
        <v>2.5</v>
      </c>
      <c r="E327" s="52">
        <v>3.48</v>
      </c>
      <c r="F327" s="52">
        <v>11.78</v>
      </c>
      <c r="G327" s="52">
        <v>86.36</v>
      </c>
      <c r="H327" s="52">
        <v>4.73</v>
      </c>
    </row>
    <row r="328" spans="1:8" ht="177.75" thickBot="1">
      <c r="A328" s="47">
        <v>81</v>
      </c>
      <c r="B328" s="24" t="s">
        <v>209</v>
      </c>
      <c r="C328" s="34">
        <v>200</v>
      </c>
      <c r="D328" s="52">
        <v>3.05</v>
      </c>
      <c r="E328" s="52">
        <v>6.42</v>
      </c>
      <c r="F328" s="52">
        <v>12.48</v>
      </c>
      <c r="G328" s="52">
        <v>127.2</v>
      </c>
      <c r="H328" s="52">
        <v>16.25</v>
      </c>
    </row>
    <row r="329" spans="1:9" ht="354.75" thickBot="1">
      <c r="A329" s="47">
        <v>20</v>
      </c>
      <c r="B329" s="24" t="s">
        <v>232</v>
      </c>
      <c r="C329" s="53" t="s">
        <v>241</v>
      </c>
      <c r="D329" s="52">
        <v>0</v>
      </c>
      <c r="E329" s="52">
        <v>0</v>
      </c>
      <c r="F329" s="52">
        <v>22.71</v>
      </c>
      <c r="G329" s="52">
        <v>87.5</v>
      </c>
      <c r="H329" s="52">
        <v>0</v>
      </c>
      <c r="I329" s="46"/>
    </row>
    <row r="330" spans="1:9" ht="177.75" thickBot="1">
      <c r="A330" s="47" t="s">
        <v>32</v>
      </c>
      <c r="B330" s="24" t="s">
        <v>56</v>
      </c>
      <c r="C330" s="34">
        <v>20</v>
      </c>
      <c r="D330" s="52">
        <v>1.6</v>
      </c>
      <c r="E330" s="52">
        <v>0.2</v>
      </c>
      <c r="F330" s="52">
        <v>9.64</v>
      </c>
      <c r="G330" s="52">
        <v>47.2</v>
      </c>
      <c r="H330" s="52">
        <v>0</v>
      </c>
      <c r="I330" s="46"/>
    </row>
    <row r="331" spans="1:9" s="46" customFormat="1" ht="177.75" thickBot="1">
      <c r="A331" s="47" t="s">
        <v>32</v>
      </c>
      <c r="B331" s="24" t="s">
        <v>58</v>
      </c>
      <c r="C331" s="34">
        <v>40</v>
      </c>
      <c r="D331" s="52">
        <v>2.24</v>
      </c>
      <c r="E331" s="52">
        <v>0.48</v>
      </c>
      <c r="F331" s="52">
        <v>19.76</v>
      </c>
      <c r="G331" s="52">
        <v>92.8</v>
      </c>
      <c r="H331" s="52">
        <v>0</v>
      </c>
      <c r="I331" s="38"/>
    </row>
    <row r="332" spans="1:9" s="46" customFormat="1" ht="89.25" thickBot="1">
      <c r="A332" s="54"/>
      <c r="B332" s="26" t="s">
        <v>29</v>
      </c>
      <c r="C332" s="34">
        <f aca="true" t="shared" si="21" ref="C332:H332">C326+C327+C328+C329+C330+C331</f>
        <v>580</v>
      </c>
      <c r="D332" s="48">
        <f t="shared" si="21"/>
        <v>9.86</v>
      </c>
      <c r="E332" s="48">
        <f t="shared" si="21"/>
        <v>13.02</v>
      </c>
      <c r="F332" s="48">
        <f t="shared" si="21"/>
        <v>79.14</v>
      </c>
      <c r="G332" s="48">
        <f t="shared" si="21"/>
        <v>476.06</v>
      </c>
      <c r="H332" s="48">
        <f t="shared" si="21"/>
        <v>22.08</v>
      </c>
      <c r="I332" s="38"/>
    </row>
    <row r="333" spans="1:9" s="46" customFormat="1" ht="89.25" thickBot="1">
      <c r="A333" s="172" t="s">
        <v>145</v>
      </c>
      <c r="B333" s="173"/>
      <c r="C333" s="173"/>
      <c r="D333" s="173"/>
      <c r="E333" s="173"/>
      <c r="F333" s="173"/>
      <c r="G333" s="173"/>
      <c r="H333" s="174"/>
      <c r="I333" s="38"/>
    </row>
    <row r="334" spans="1:9" s="46" customFormat="1" ht="266.25" thickBot="1">
      <c r="A334" s="55">
        <v>21.1</v>
      </c>
      <c r="B334" s="56" t="s">
        <v>172</v>
      </c>
      <c r="C334" s="51" t="s">
        <v>27</v>
      </c>
      <c r="D334" s="48">
        <v>4.35</v>
      </c>
      <c r="E334" s="48">
        <v>4.8</v>
      </c>
      <c r="F334" s="48">
        <v>6</v>
      </c>
      <c r="G334" s="48">
        <v>88.5</v>
      </c>
      <c r="H334" s="48">
        <v>1.05</v>
      </c>
      <c r="I334" s="38"/>
    </row>
    <row r="335" spans="1:9" s="46" customFormat="1" ht="89.25" thickBot="1">
      <c r="A335" s="47">
        <v>36</v>
      </c>
      <c r="B335" s="24" t="s">
        <v>57</v>
      </c>
      <c r="C335" s="51" t="s">
        <v>34</v>
      </c>
      <c r="D335" s="52">
        <v>5.24</v>
      </c>
      <c r="E335" s="52">
        <v>9.52</v>
      </c>
      <c r="F335" s="52">
        <v>29.8</v>
      </c>
      <c r="G335" s="52">
        <v>240</v>
      </c>
      <c r="H335" s="52">
        <v>0.18</v>
      </c>
      <c r="I335" s="38"/>
    </row>
    <row r="336" spans="1:9" s="46" customFormat="1" ht="89.25" thickBot="1">
      <c r="A336" s="54"/>
      <c r="B336" s="24" t="s">
        <v>29</v>
      </c>
      <c r="C336" s="34">
        <f aca="true" t="shared" si="22" ref="C336:H336">C334+C335</f>
        <v>210</v>
      </c>
      <c r="D336" s="52">
        <f t="shared" si="22"/>
        <v>9.59</v>
      </c>
      <c r="E336" s="52">
        <f t="shared" si="22"/>
        <v>14.32</v>
      </c>
      <c r="F336" s="52">
        <f t="shared" si="22"/>
        <v>35.8</v>
      </c>
      <c r="G336" s="52">
        <f t="shared" si="22"/>
        <v>328.5</v>
      </c>
      <c r="H336" s="52">
        <f t="shared" si="22"/>
        <v>1.23</v>
      </c>
      <c r="I336" s="38"/>
    </row>
    <row r="337" spans="1:8" ht="89.25" thickBot="1">
      <c r="A337" s="172" t="s">
        <v>144</v>
      </c>
      <c r="B337" s="173"/>
      <c r="C337" s="173"/>
      <c r="D337" s="173"/>
      <c r="E337" s="173"/>
      <c r="F337" s="173"/>
      <c r="G337" s="173"/>
      <c r="H337" s="174"/>
    </row>
    <row r="338" spans="1:8" ht="177.75" thickBot="1">
      <c r="A338" s="47">
        <v>1</v>
      </c>
      <c r="B338" s="26" t="s">
        <v>42</v>
      </c>
      <c r="C338" s="34">
        <v>150</v>
      </c>
      <c r="D338" s="52">
        <v>4.35</v>
      </c>
      <c r="E338" s="52">
        <v>5.54</v>
      </c>
      <c r="F338" s="52">
        <v>16.62</v>
      </c>
      <c r="G338" s="60">
        <v>134.17</v>
      </c>
      <c r="H338" s="60">
        <v>0.88</v>
      </c>
    </row>
    <row r="339" spans="1:8" ht="177.75" thickBot="1">
      <c r="A339" s="47" t="s">
        <v>32</v>
      </c>
      <c r="B339" s="24" t="s">
        <v>56</v>
      </c>
      <c r="C339" s="34">
        <v>15</v>
      </c>
      <c r="D339" s="52">
        <v>1.2</v>
      </c>
      <c r="E339" s="52">
        <v>0.15</v>
      </c>
      <c r="F339" s="52">
        <v>7.23</v>
      </c>
      <c r="G339" s="52">
        <v>35.4</v>
      </c>
      <c r="H339" s="52">
        <v>0</v>
      </c>
    </row>
    <row r="340" spans="1:8" ht="89.25" thickBot="1">
      <c r="A340" s="54">
        <v>76</v>
      </c>
      <c r="B340" s="50" t="s">
        <v>171</v>
      </c>
      <c r="C340" s="34">
        <v>180</v>
      </c>
      <c r="D340" s="52">
        <v>2.02</v>
      </c>
      <c r="E340" s="52">
        <v>2.3</v>
      </c>
      <c r="F340" s="52">
        <v>11.36</v>
      </c>
      <c r="G340" s="52">
        <v>74</v>
      </c>
      <c r="H340" s="52">
        <v>0.94</v>
      </c>
    </row>
    <row r="341" spans="1:8" ht="177.75" thickBot="1">
      <c r="A341" s="47">
        <v>69</v>
      </c>
      <c r="B341" s="24" t="s">
        <v>106</v>
      </c>
      <c r="C341" s="51" t="s">
        <v>253</v>
      </c>
      <c r="D341" s="52">
        <v>0.34</v>
      </c>
      <c r="E341" s="52">
        <v>0.34</v>
      </c>
      <c r="F341" s="52">
        <v>8.33</v>
      </c>
      <c r="G341" s="52">
        <v>39.95</v>
      </c>
      <c r="H341" s="52">
        <v>8.5</v>
      </c>
    </row>
    <row r="342" spans="1:8" ht="89.25" thickBot="1">
      <c r="A342" s="42"/>
      <c r="B342" s="24" t="s">
        <v>6</v>
      </c>
      <c r="C342" s="34">
        <f aca="true" t="shared" si="23" ref="C342:H342">C338+C339+C340+C341</f>
        <v>430</v>
      </c>
      <c r="D342" s="52">
        <f t="shared" si="23"/>
        <v>7.91</v>
      </c>
      <c r="E342" s="52">
        <f t="shared" si="23"/>
        <v>8.33</v>
      </c>
      <c r="F342" s="52">
        <f t="shared" si="23"/>
        <v>43.54</v>
      </c>
      <c r="G342" s="52">
        <f t="shared" si="23"/>
        <v>283.52</v>
      </c>
      <c r="H342" s="52">
        <f t="shared" si="23"/>
        <v>10.32</v>
      </c>
    </row>
    <row r="343" spans="1:8" ht="89.25" thickBot="1">
      <c r="A343" s="47"/>
      <c r="B343" s="24"/>
      <c r="C343" s="51"/>
      <c r="D343" s="40" t="s">
        <v>0</v>
      </c>
      <c r="E343" s="41" t="s">
        <v>1</v>
      </c>
      <c r="F343" s="41" t="s">
        <v>2</v>
      </c>
      <c r="G343" s="149" t="s">
        <v>3</v>
      </c>
      <c r="H343" s="41" t="s">
        <v>4</v>
      </c>
    </row>
    <row r="344" spans="1:8" ht="89.25" thickBot="1">
      <c r="A344" s="47"/>
      <c r="B344" s="58" t="s">
        <v>10</v>
      </c>
      <c r="C344" s="51"/>
      <c r="D344" s="52">
        <f>D321+D324+D332+D336+D342</f>
        <v>38.57</v>
      </c>
      <c r="E344" s="52">
        <f>E321+E324+E332+E336+E342</f>
        <v>50.15</v>
      </c>
      <c r="F344" s="52">
        <f>F321+F324+F332+F336+F342</f>
        <v>210.61999999999998</v>
      </c>
      <c r="G344" s="52">
        <f>G321+G324+G332+G336+G342</f>
        <v>1472.08</v>
      </c>
      <c r="H344" s="52">
        <f>H321+H324+H332+H336+H342</f>
        <v>38.33</v>
      </c>
    </row>
    <row r="345" spans="1:8" ht="106.5" customHeight="1" thickBot="1">
      <c r="A345" s="47"/>
      <c r="B345" s="58" t="s">
        <v>11</v>
      </c>
      <c r="C345" s="51"/>
      <c r="D345" s="52">
        <v>42</v>
      </c>
      <c r="E345" s="52">
        <v>47</v>
      </c>
      <c r="F345" s="52">
        <v>203</v>
      </c>
      <c r="G345" s="52">
        <v>1400</v>
      </c>
      <c r="H345" s="52">
        <v>45</v>
      </c>
    </row>
    <row r="346" spans="1:8" ht="230.25" customHeight="1" thickBot="1">
      <c r="A346" s="42"/>
      <c r="B346" s="59" t="s">
        <v>12</v>
      </c>
      <c r="C346" s="41"/>
      <c r="D346" s="60">
        <f>D344*100/D345</f>
        <v>91.83333333333333</v>
      </c>
      <c r="E346" s="60">
        <f>E344*100/E345</f>
        <v>106.70212765957447</v>
      </c>
      <c r="F346" s="60">
        <f>F344*100/F345</f>
        <v>103.75369458128077</v>
      </c>
      <c r="G346" s="60">
        <f>G344*100/G345</f>
        <v>105.14857142857143</v>
      </c>
      <c r="H346" s="60">
        <f>H344*100/H345</f>
        <v>85.17777777777778</v>
      </c>
    </row>
    <row r="347" spans="1:8" ht="88.5">
      <c r="A347" s="61"/>
      <c r="B347" s="147"/>
      <c r="C347" s="146"/>
      <c r="D347" s="62"/>
      <c r="E347" s="62"/>
      <c r="F347" s="62"/>
      <c r="G347" s="62"/>
      <c r="H347" s="62"/>
    </row>
    <row r="348" spans="1:8" ht="88.5">
      <c r="A348" s="61"/>
      <c r="B348" s="38" t="s">
        <v>68</v>
      </c>
      <c r="C348" s="38"/>
      <c r="E348" s="62"/>
      <c r="F348" s="62"/>
      <c r="G348" s="62"/>
      <c r="H348" s="62"/>
    </row>
    <row r="349" spans="1:2" ht="102">
      <c r="A349" s="61"/>
      <c r="B349" s="38" t="s">
        <v>271</v>
      </c>
    </row>
    <row r="350" spans="1:2" ht="88.5">
      <c r="A350" s="61"/>
      <c r="B350" s="38" t="s">
        <v>67</v>
      </c>
    </row>
    <row r="351" spans="1:2" ht="88.5">
      <c r="A351" s="61"/>
      <c r="B351" s="38" t="s">
        <v>149</v>
      </c>
    </row>
    <row r="352" spans="1:8" ht="88.5">
      <c r="A352" s="61"/>
      <c r="B352" s="147"/>
      <c r="C352" s="146"/>
      <c r="D352" s="62"/>
      <c r="E352" s="62"/>
      <c r="F352" s="62"/>
      <c r="G352" s="62"/>
      <c r="H352" s="62"/>
    </row>
    <row r="353" spans="1:8" ht="88.5">
      <c r="A353" s="175" t="s">
        <v>200</v>
      </c>
      <c r="B353" s="175"/>
      <c r="C353" s="175"/>
      <c r="D353" s="175"/>
      <c r="E353" s="175"/>
      <c r="F353" s="175"/>
      <c r="G353" s="175"/>
      <c r="H353" s="175"/>
    </row>
    <row r="354" spans="1:8" ht="88.5">
      <c r="A354" s="175" t="s">
        <v>52</v>
      </c>
      <c r="B354" s="175"/>
      <c r="C354" s="175"/>
      <c r="D354" s="175"/>
      <c r="E354" s="175"/>
      <c r="F354" s="175"/>
      <c r="G354" s="175"/>
      <c r="H354" s="175"/>
    </row>
    <row r="355" spans="1:8" ht="88.5">
      <c r="A355" s="176" t="s">
        <v>64</v>
      </c>
      <c r="B355" s="176"/>
      <c r="C355" s="176"/>
      <c r="D355" s="176"/>
      <c r="E355" s="176"/>
      <c r="F355" s="176"/>
      <c r="G355" s="176"/>
      <c r="H355" s="176"/>
    </row>
    <row r="356" spans="1:8" ht="89.25" thickBot="1">
      <c r="A356" s="177"/>
      <c r="B356" s="177"/>
      <c r="C356" s="177"/>
      <c r="D356" s="177"/>
      <c r="E356" s="177"/>
      <c r="F356" s="177"/>
      <c r="G356" s="177"/>
      <c r="H356" s="177"/>
    </row>
    <row r="357" spans="1:8" ht="89.25" thickBot="1">
      <c r="A357" s="178" t="s">
        <v>30</v>
      </c>
      <c r="B357" s="180" t="s">
        <v>50</v>
      </c>
      <c r="C357" s="183" t="s">
        <v>111</v>
      </c>
      <c r="D357" s="172" t="s">
        <v>24</v>
      </c>
      <c r="E357" s="173"/>
      <c r="F357" s="174"/>
      <c r="G357" s="180" t="s">
        <v>51</v>
      </c>
      <c r="H357" s="180" t="s">
        <v>112</v>
      </c>
    </row>
    <row r="358" spans="1:8" ht="89.25" thickBot="1">
      <c r="A358" s="179"/>
      <c r="B358" s="181"/>
      <c r="C358" s="184"/>
      <c r="D358" s="40" t="s">
        <v>0</v>
      </c>
      <c r="E358" s="41" t="s">
        <v>1</v>
      </c>
      <c r="F358" s="41" t="s">
        <v>2</v>
      </c>
      <c r="G358" s="181"/>
      <c r="H358" s="181"/>
    </row>
    <row r="359" spans="1:8" ht="89.25" thickBot="1">
      <c r="A359" s="42">
        <v>1</v>
      </c>
      <c r="B359" s="43">
        <v>2</v>
      </c>
      <c r="C359" s="44">
        <v>3</v>
      </c>
      <c r="D359" s="45">
        <v>4</v>
      </c>
      <c r="E359" s="43">
        <v>5</v>
      </c>
      <c r="F359" s="43">
        <v>6</v>
      </c>
      <c r="G359" s="43">
        <v>7</v>
      </c>
      <c r="H359" s="43">
        <v>8</v>
      </c>
    </row>
    <row r="360" spans="1:8" ht="89.25" thickBot="1">
      <c r="A360" s="172" t="s">
        <v>5</v>
      </c>
      <c r="B360" s="173"/>
      <c r="C360" s="173"/>
      <c r="D360" s="173"/>
      <c r="E360" s="173"/>
      <c r="F360" s="173"/>
      <c r="G360" s="173"/>
      <c r="H360" s="174"/>
    </row>
    <row r="361" spans="1:8" ht="177.75" thickBot="1">
      <c r="A361" s="54">
        <v>50</v>
      </c>
      <c r="B361" s="26" t="s">
        <v>205</v>
      </c>
      <c r="C361" s="34">
        <v>150</v>
      </c>
      <c r="D361" s="48">
        <v>4.46</v>
      </c>
      <c r="E361" s="48">
        <v>5.24</v>
      </c>
      <c r="F361" s="48">
        <v>23.16</v>
      </c>
      <c r="G361" s="48">
        <v>156</v>
      </c>
      <c r="H361" s="48">
        <v>1.47</v>
      </c>
    </row>
    <row r="362" spans="1:8" ht="89.25" thickBot="1">
      <c r="A362" s="54">
        <v>15</v>
      </c>
      <c r="B362" s="50" t="s">
        <v>224</v>
      </c>
      <c r="C362" s="34">
        <v>180</v>
      </c>
      <c r="D362" s="52">
        <v>2.79</v>
      </c>
      <c r="E362" s="52">
        <v>3.04</v>
      </c>
      <c r="F362" s="52">
        <v>12.32</v>
      </c>
      <c r="G362" s="52">
        <v>87</v>
      </c>
      <c r="H362" s="52">
        <v>1.17</v>
      </c>
    </row>
    <row r="363" spans="1:8" ht="89.25" thickBot="1">
      <c r="A363" s="47">
        <v>16</v>
      </c>
      <c r="B363" s="24" t="s">
        <v>36</v>
      </c>
      <c r="C363" s="53" t="s">
        <v>240</v>
      </c>
      <c r="D363" s="52">
        <v>1.56</v>
      </c>
      <c r="E363" s="52">
        <v>3.73</v>
      </c>
      <c r="F363" s="52">
        <v>9.9</v>
      </c>
      <c r="G363" s="52">
        <v>79</v>
      </c>
      <c r="H363" s="52">
        <v>0</v>
      </c>
    </row>
    <row r="364" spans="1:8" ht="89.25" thickBot="1">
      <c r="A364" s="47"/>
      <c r="B364" s="24" t="s">
        <v>6</v>
      </c>
      <c r="C364" s="34">
        <f aca="true" t="shared" si="24" ref="C364:H364">C361+C362+C363</f>
        <v>355</v>
      </c>
      <c r="D364" s="60">
        <f t="shared" si="24"/>
        <v>8.81</v>
      </c>
      <c r="E364" s="60">
        <f t="shared" si="24"/>
        <v>12.010000000000002</v>
      </c>
      <c r="F364" s="60">
        <f t="shared" si="24"/>
        <v>45.38</v>
      </c>
      <c r="G364" s="60">
        <f t="shared" si="24"/>
        <v>322</v>
      </c>
      <c r="H364" s="60">
        <f t="shared" si="24"/>
        <v>2.6399999999999997</v>
      </c>
    </row>
    <row r="365" spans="1:8" ht="89.25" thickBot="1">
      <c r="A365" s="172" t="s">
        <v>53</v>
      </c>
      <c r="B365" s="173"/>
      <c r="C365" s="173"/>
      <c r="D365" s="173"/>
      <c r="E365" s="173"/>
      <c r="F365" s="173"/>
      <c r="G365" s="173"/>
      <c r="H365" s="174"/>
    </row>
    <row r="366" spans="1:8" ht="89.25" thickBot="1">
      <c r="A366" s="47" t="s">
        <v>32</v>
      </c>
      <c r="B366" s="24" t="s">
        <v>182</v>
      </c>
      <c r="C366" s="53" t="s">
        <v>26</v>
      </c>
      <c r="D366" s="52">
        <v>0.2</v>
      </c>
      <c r="E366" s="52">
        <v>0.11</v>
      </c>
      <c r="F366" s="52">
        <v>10.11</v>
      </c>
      <c r="G366" s="52">
        <v>46</v>
      </c>
      <c r="H366" s="52">
        <v>2</v>
      </c>
    </row>
    <row r="367" spans="1:8" ht="89.25" thickBot="1">
      <c r="A367" s="47"/>
      <c r="B367" s="24" t="s">
        <v>6</v>
      </c>
      <c r="C367" s="51" t="s">
        <v>26</v>
      </c>
      <c r="D367" s="52">
        <f>SUM(D366)</f>
        <v>0.2</v>
      </c>
      <c r="E367" s="52">
        <f>SUM(E366)</f>
        <v>0.11</v>
      </c>
      <c r="F367" s="52">
        <f>SUM(F366)</f>
        <v>10.11</v>
      </c>
      <c r="G367" s="52">
        <f>SUM(G366)</f>
        <v>46</v>
      </c>
      <c r="H367" s="52">
        <f>SUM(H366)</f>
        <v>2</v>
      </c>
    </row>
    <row r="368" spans="1:8" ht="89.25" thickBot="1">
      <c r="A368" s="172" t="s">
        <v>8</v>
      </c>
      <c r="B368" s="173"/>
      <c r="C368" s="173"/>
      <c r="D368" s="173"/>
      <c r="E368" s="173"/>
      <c r="F368" s="173"/>
      <c r="G368" s="173"/>
      <c r="H368" s="174"/>
    </row>
    <row r="369" spans="1:8" ht="89.25" thickBot="1">
      <c r="A369" s="54">
        <v>56</v>
      </c>
      <c r="B369" s="24" t="s">
        <v>228</v>
      </c>
      <c r="C369" s="53" t="s">
        <v>155</v>
      </c>
      <c r="D369" s="52">
        <v>0.53</v>
      </c>
      <c r="E369" s="52">
        <v>2.42</v>
      </c>
      <c r="F369" s="52">
        <v>3.03</v>
      </c>
      <c r="G369" s="52">
        <v>36.67</v>
      </c>
      <c r="H369" s="52">
        <v>3.2</v>
      </c>
    </row>
    <row r="370" spans="1:8" ht="177.75" thickBot="1">
      <c r="A370" s="47">
        <v>53</v>
      </c>
      <c r="B370" s="24" t="s">
        <v>174</v>
      </c>
      <c r="C370" s="34">
        <v>150</v>
      </c>
      <c r="D370" s="52">
        <v>4.05</v>
      </c>
      <c r="E370" s="52">
        <v>5.18</v>
      </c>
      <c r="F370" s="52">
        <v>7.66</v>
      </c>
      <c r="G370" s="52">
        <v>89.25</v>
      </c>
      <c r="H370" s="52">
        <v>3.6</v>
      </c>
    </row>
    <row r="371" spans="1:8" ht="177.75" thickBot="1">
      <c r="A371" s="54">
        <v>19</v>
      </c>
      <c r="B371" s="24" t="s">
        <v>242</v>
      </c>
      <c r="C371" s="51" t="s">
        <v>27</v>
      </c>
      <c r="D371" s="52">
        <v>6.99</v>
      </c>
      <c r="E371" s="52">
        <v>7.55</v>
      </c>
      <c r="F371" s="52">
        <v>14.21</v>
      </c>
      <c r="G371" s="52">
        <v>159</v>
      </c>
      <c r="H371" s="52">
        <v>7.84</v>
      </c>
    </row>
    <row r="372" spans="1:8" ht="177.75" thickBot="1">
      <c r="A372" s="47">
        <v>9</v>
      </c>
      <c r="B372" s="24" t="s">
        <v>43</v>
      </c>
      <c r="C372" s="34">
        <v>150</v>
      </c>
      <c r="D372" s="52">
        <v>0.33</v>
      </c>
      <c r="E372" s="52">
        <v>0</v>
      </c>
      <c r="F372" s="52">
        <v>16.67</v>
      </c>
      <c r="G372" s="52">
        <v>70</v>
      </c>
      <c r="H372" s="52">
        <v>0.3</v>
      </c>
    </row>
    <row r="373" spans="1:8" ht="177.75" thickBot="1">
      <c r="A373" s="47" t="s">
        <v>32</v>
      </c>
      <c r="B373" s="24" t="s">
        <v>56</v>
      </c>
      <c r="C373" s="34">
        <v>20</v>
      </c>
      <c r="D373" s="52">
        <v>1.6</v>
      </c>
      <c r="E373" s="52">
        <v>0.2</v>
      </c>
      <c r="F373" s="52">
        <v>9.64</v>
      </c>
      <c r="G373" s="52">
        <v>47.2</v>
      </c>
      <c r="H373" s="52">
        <v>0</v>
      </c>
    </row>
    <row r="374" spans="1:8" ht="177.75" thickBot="1">
      <c r="A374" s="47" t="s">
        <v>32</v>
      </c>
      <c r="B374" s="24" t="s">
        <v>58</v>
      </c>
      <c r="C374" s="34">
        <v>40</v>
      </c>
      <c r="D374" s="52">
        <v>2.24</v>
      </c>
      <c r="E374" s="52">
        <v>0.48</v>
      </c>
      <c r="F374" s="52">
        <v>19.76</v>
      </c>
      <c r="G374" s="52">
        <v>92.8</v>
      </c>
      <c r="H374" s="52">
        <v>0</v>
      </c>
    </row>
    <row r="375" spans="1:8" ht="89.25" thickBot="1">
      <c r="A375" s="54"/>
      <c r="B375" s="26" t="s">
        <v>29</v>
      </c>
      <c r="C375" s="34">
        <f aca="true" t="shared" si="25" ref="C375:H375">C369+C370+C371+C372+C373+C374</f>
        <v>540</v>
      </c>
      <c r="D375" s="48">
        <f t="shared" si="25"/>
        <v>15.74</v>
      </c>
      <c r="E375" s="48">
        <f t="shared" si="25"/>
        <v>15.829999999999998</v>
      </c>
      <c r="F375" s="48">
        <f t="shared" si="25"/>
        <v>70.97</v>
      </c>
      <c r="G375" s="48">
        <f t="shared" si="25"/>
        <v>494.92</v>
      </c>
      <c r="H375" s="48">
        <f t="shared" si="25"/>
        <v>14.940000000000001</v>
      </c>
    </row>
    <row r="376" spans="1:8" ht="89.25" thickBot="1">
      <c r="A376" s="172" t="s">
        <v>145</v>
      </c>
      <c r="B376" s="173"/>
      <c r="C376" s="173"/>
      <c r="D376" s="173"/>
      <c r="E376" s="173"/>
      <c r="F376" s="173"/>
      <c r="G376" s="173"/>
      <c r="H376" s="174"/>
    </row>
    <row r="377" spans="1:8" ht="266.25" thickBot="1">
      <c r="A377" s="55">
        <v>21.1</v>
      </c>
      <c r="B377" s="56" t="s">
        <v>172</v>
      </c>
      <c r="C377" s="51" t="s">
        <v>27</v>
      </c>
      <c r="D377" s="48">
        <v>4.35</v>
      </c>
      <c r="E377" s="48">
        <v>4.8</v>
      </c>
      <c r="F377" s="48">
        <v>6</v>
      </c>
      <c r="G377" s="48">
        <v>88.5</v>
      </c>
      <c r="H377" s="48">
        <v>1.05</v>
      </c>
    </row>
    <row r="378" spans="1:8" ht="177.75" thickBot="1">
      <c r="A378" s="47">
        <v>28</v>
      </c>
      <c r="B378" s="24" t="s">
        <v>164</v>
      </c>
      <c r="C378" s="51" t="s">
        <v>34</v>
      </c>
      <c r="D378" s="52">
        <v>7.79</v>
      </c>
      <c r="E378" s="52">
        <v>4.23</v>
      </c>
      <c r="F378" s="52">
        <v>25.49</v>
      </c>
      <c r="G378" s="52">
        <v>182</v>
      </c>
      <c r="H378" s="52">
        <v>0.26</v>
      </c>
    </row>
    <row r="379" spans="1:8" ht="89.25" thickBot="1">
      <c r="A379" s="54"/>
      <c r="B379" s="24" t="s">
        <v>29</v>
      </c>
      <c r="C379" s="34">
        <f aca="true" t="shared" si="26" ref="C379:H379">C377+C378</f>
        <v>210</v>
      </c>
      <c r="D379" s="52">
        <f t="shared" si="26"/>
        <v>12.14</v>
      </c>
      <c r="E379" s="52">
        <f t="shared" si="26"/>
        <v>9.030000000000001</v>
      </c>
      <c r="F379" s="52">
        <f t="shared" si="26"/>
        <v>31.49</v>
      </c>
      <c r="G379" s="52">
        <f t="shared" si="26"/>
        <v>270.5</v>
      </c>
      <c r="H379" s="52">
        <f t="shared" si="26"/>
        <v>1.31</v>
      </c>
    </row>
    <row r="380" spans="1:8" ht="89.25" thickBot="1">
      <c r="A380" s="172" t="s">
        <v>144</v>
      </c>
      <c r="B380" s="173"/>
      <c r="C380" s="173"/>
      <c r="D380" s="173"/>
      <c r="E380" s="173"/>
      <c r="F380" s="173"/>
      <c r="G380" s="173"/>
      <c r="H380" s="174"/>
    </row>
    <row r="381" spans="1:8" ht="89.25" thickBot="1">
      <c r="A381" s="47">
        <v>73</v>
      </c>
      <c r="B381" s="24" t="s">
        <v>212</v>
      </c>
      <c r="C381" s="53" t="s">
        <v>234</v>
      </c>
      <c r="D381" s="52">
        <v>7.68</v>
      </c>
      <c r="E381" s="52">
        <v>10.08</v>
      </c>
      <c r="F381" s="52">
        <v>23.01</v>
      </c>
      <c r="G381" s="52">
        <v>244</v>
      </c>
      <c r="H381" s="52">
        <v>18.16</v>
      </c>
    </row>
    <row r="382" spans="1:8" ht="89.25" thickBot="1">
      <c r="A382" s="54">
        <v>13</v>
      </c>
      <c r="B382" s="50" t="s">
        <v>7</v>
      </c>
      <c r="C382" s="34">
        <v>180</v>
      </c>
      <c r="D382" s="52">
        <v>0</v>
      </c>
      <c r="E382" s="52">
        <v>0</v>
      </c>
      <c r="F382" s="52">
        <v>10.78</v>
      </c>
      <c r="G382" s="52">
        <v>36</v>
      </c>
      <c r="H382" s="52">
        <v>0</v>
      </c>
    </row>
    <row r="383" spans="1:8" ht="177.75" thickBot="1">
      <c r="A383" s="47" t="s">
        <v>32</v>
      </c>
      <c r="B383" s="24" t="s">
        <v>56</v>
      </c>
      <c r="C383" s="34">
        <v>15</v>
      </c>
      <c r="D383" s="52">
        <v>1.2</v>
      </c>
      <c r="E383" s="52">
        <v>0.15</v>
      </c>
      <c r="F383" s="52">
        <v>7.23</v>
      </c>
      <c r="G383" s="52">
        <v>35.4</v>
      </c>
      <c r="H383" s="52">
        <v>0</v>
      </c>
    </row>
    <row r="384" spans="1:8" ht="177.75" thickBot="1">
      <c r="A384" s="47">
        <v>69</v>
      </c>
      <c r="B384" s="24" t="s">
        <v>106</v>
      </c>
      <c r="C384" s="51" t="s">
        <v>253</v>
      </c>
      <c r="D384" s="52">
        <v>0.34</v>
      </c>
      <c r="E384" s="52">
        <v>0.34</v>
      </c>
      <c r="F384" s="52">
        <v>8.33</v>
      </c>
      <c r="G384" s="52">
        <v>39.95</v>
      </c>
      <c r="H384" s="52">
        <v>8.5</v>
      </c>
    </row>
    <row r="385" spans="1:8" ht="89.25" thickBot="1">
      <c r="A385" s="42"/>
      <c r="B385" s="24" t="s">
        <v>6</v>
      </c>
      <c r="C385" s="34">
        <f aca="true" t="shared" si="27" ref="C385:H385">C381+C382+C383+C384</f>
        <v>533</v>
      </c>
      <c r="D385" s="60">
        <f t="shared" si="27"/>
        <v>9.219999999999999</v>
      </c>
      <c r="E385" s="60">
        <f t="shared" si="27"/>
        <v>10.57</v>
      </c>
      <c r="F385" s="60">
        <f t="shared" si="27"/>
        <v>49.349999999999994</v>
      </c>
      <c r="G385" s="60">
        <f t="shared" si="27"/>
        <v>355.34999999999997</v>
      </c>
      <c r="H385" s="60">
        <f t="shared" si="27"/>
        <v>26.66</v>
      </c>
    </row>
    <row r="386" spans="1:8" ht="89.25" thickBot="1">
      <c r="A386" s="47"/>
      <c r="B386" s="24"/>
      <c r="C386" s="51"/>
      <c r="D386" s="40" t="s">
        <v>0</v>
      </c>
      <c r="E386" s="41" t="s">
        <v>1</v>
      </c>
      <c r="F386" s="41" t="s">
        <v>2</v>
      </c>
      <c r="G386" s="149" t="s">
        <v>3</v>
      </c>
      <c r="H386" s="41" t="s">
        <v>4</v>
      </c>
    </row>
    <row r="387" spans="1:8" ht="89.25" thickBot="1">
      <c r="A387" s="47"/>
      <c r="B387" s="58" t="s">
        <v>10</v>
      </c>
      <c r="C387" s="51"/>
      <c r="D387" s="52">
        <f>D364+D367+D375+D379+D385</f>
        <v>46.11</v>
      </c>
      <c r="E387" s="52">
        <f>E364+E367+E375+E379+E385</f>
        <v>47.550000000000004</v>
      </c>
      <c r="F387" s="52">
        <f>F364+F367+F375+F379+F385</f>
        <v>207.3</v>
      </c>
      <c r="G387" s="52">
        <f>G364+G367+G375+G379+G385</f>
        <v>1488.77</v>
      </c>
      <c r="H387" s="52">
        <f>H364+H367+H375+H379+H385</f>
        <v>47.55</v>
      </c>
    </row>
    <row r="388" spans="1:8" ht="176.25" thickBot="1">
      <c r="A388" s="47"/>
      <c r="B388" s="58" t="s">
        <v>11</v>
      </c>
      <c r="C388" s="51"/>
      <c r="D388" s="52">
        <v>42</v>
      </c>
      <c r="E388" s="52">
        <v>47</v>
      </c>
      <c r="F388" s="52">
        <v>203</v>
      </c>
      <c r="G388" s="52">
        <v>1400</v>
      </c>
      <c r="H388" s="52">
        <v>45</v>
      </c>
    </row>
    <row r="389" spans="1:8" ht="350.25" thickBot="1">
      <c r="A389" s="42"/>
      <c r="B389" s="59" t="s">
        <v>12</v>
      </c>
      <c r="C389" s="41"/>
      <c r="D389" s="60">
        <f>D387*100/D388</f>
        <v>109.78571428571429</v>
      </c>
      <c r="E389" s="60">
        <f>E387*100/E388</f>
        <v>101.17021276595744</v>
      </c>
      <c r="F389" s="60">
        <f>F387*100/F388</f>
        <v>102.11822660098522</v>
      </c>
      <c r="G389" s="60">
        <f>G387*100/G388</f>
        <v>106.34071428571428</v>
      </c>
      <c r="H389" s="60">
        <f>H387*100/H388</f>
        <v>105.66666666666667</v>
      </c>
    </row>
    <row r="390" spans="1:8" ht="88.5">
      <c r="A390" s="61"/>
      <c r="B390" s="147"/>
      <c r="C390" s="146"/>
      <c r="D390" s="62"/>
      <c r="E390" s="62"/>
      <c r="F390" s="62"/>
      <c r="G390" s="62"/>
      <c r="H390" s="62"/>
    </row>
    <row r="391" spans="1:8" ht="88.5">
      <c r="A391" s="61"/>
      <c r="B391" s="38" t="s">
        <v>68</v>
      </c>
      <c r="C391" s="38"/>
      <c r="E391" s="62"/>
      <c r="F391" s="62"/>
      <c r="G391" s="62"/>
      <c r="H391" s="62"/>
    </row>
    <row r="392" spans="1:2" ht="102">
      <c r="A392" s="61"/>
      <c r="B392" s="38" t="s">
        <v>271</v>
      </c>
    </row>
    <row r="393" spans="1:2" ht="88.5">
      <c r="A393" s="61"/>
      <c r="B393" s="38" t="s">
        <v>67</v>
      </c>
    </row>
    <row r="394" spans="1:2" ht="88.5">
      <c r="A394" s="61"/>
      <c r="B394" s="38" t="s">
        <v>149</v>
      </c>
    </row>
    <row r="395" spans="1:8" ht="88.5">
      <c r="A395" s="61"/>
      <c r="B395" s="147"/>
      <c r="C395" s="146"/>
      <c r="D395" s="62"/>
      <c r="E395" s="62"/>
      <c r="F395" s="62"/>
      <c r="G395" s="62"/>
      <c r="H395" s="62"/>
    </row>
    <row r="396" spans="1:8" ht="88.5">
      <c r="A396" s="175" t="s">
        <v>188</v>
      </c>
      <c r="B396" s="175"/>
      <c r="C396" s="175"/>
      <c r="D396" s="175"/>
      <c r="E396" s="175"/>
      <c r="F396" s="175"/>
      <c r="G396" s="175"/>
      <c r="H396" s="175"/>
    </row>
    <row r="397" spans="1:8" ht="88.5">
      <c r="A397" s="175" t="s">
        <v>52</v>
      </c>
      <c r="B397" s="175"/>
      <c r="C397" s="175"/>
      <c r="D397" s="175"/>
      <c r="E397" s="175"/>
      <c r="F397" s="175"/>
      <c r="G397" s="175"/>
      <c r="H397" s="175"/>
    </row>
    <row r="398" spans="1:8" ht="88.5">
      <c r="A398" s="176" t="s">
        <v>64</v>
      </c>
      <c r="B398" s="176"/>
      <c r="C398" s="176"/>
      <c r="D398" s="176"/>
      <c r="E398" s="176"/>
      <c r="F398" s="176"/>
      <c r="G398" s="176"/>
      <c r="H398" s="176"/>
    </row>
    <row r="399" spans="1:9" ht="89.25" thickBot="1">
      <c r="A399" s="177"/>
      <c r="B399" s="177"/>
      <c r="C399" s="177"/>
      <c r="D399" s="177"/>
      <c r="E399" s="177"/>
      <c r="F399" s="177"/>
      <c r="G399" s="177"/>
      <c r="H399" s="177"/>
      <c r="I399" s="46"/>
    </row>
    <row r="400" spans="1:8" ht="89.25" thickBot="1">
      <c r="A400" s="178" t="s">
        <v>30</v>
      </c>
      <c r="B400" s="180" t="s">
        <v>50</v>
      </c>
      <c r="C400" s="183" t="s">
        <v>111</v>
      </c>
      <c r="D400" s="172" t="s">
        <v>24</v>
      </c>
      <c r="E400" s="173"/>
      <c r="F400" s="174"/>
      <c r="G400" s="180" t="s">
        <v>51</v>
      </c>
      <c r="H400" s="180" t="s">
        <v>112</v>
      </c>
    </row>
    <row r="401" spans="1:9" s="46" customFormat="1" ht="89.25" thickBot="1">
      <c r="A401" s="179"/>
      <c r="B401" s="181"/>
      <c r="C401" s="184"/>
      <c r="D401" s="40" t="s">
        <v>0</v>
      </c>
      <c r="E401" s="41" t="s">
        <v>1</v>
      </c>
      <c r="F401" s="41" t="s">
        <v>2</v>
      </c>
      <c r="G401" s="181"/>
      <c r="H401" s="181"/>
      <c r="I401" s="38"/>
    </row>
    <row r="402" spans="1:8" ht="89.25" thickBot="1">
      <c r="A402" s="148">
        <v>1</v>
      </c>
      <c r="B402" s="43">
        <v>2</v>
      </c>
      <c r="C402" s="44">
        <v>3</v>
      </c>
      <c r="D402" s="63">
        <v>4</v>
      </c>
      <c r="E402" s="43">
        <v>5</v>
      </c>
      <c r="F402" s="43">
        <v>6</v>
      </c>
      <c r="G402" s="43">
        <v>7</v>
      </c>
      <c r="H402" s="43">
        <v>8</v>
      </c>
    </row>
    <row r="403" spans="1:8" ht="89.25" thickBot="1">
      <c r="A403" s="172" t="s">
        <v>5</v>
      </c>
      <c r="B403" s="173"/>
      <c r="C403" s="173"/>
      <c r="D403" s="173"/>
      <c r="E403" s="173"/>
      <c r="F403" s="173"/>
      <c r="G403" s="173"/>
      <c r="H403" s="174"/>
    </row>
    <row r="404" spans="1:8" ht="266.25" thickBot="1">
      <c r="A404" s="64">
        <v>39</v>
      </c>
      <c r="B404" s="65" t="s">
        <v>20</v>
      </c>
      <c r="C404" s="66">
        <v>150</v>
      </c>
      <c r="D404" s="67">
        <v>4.6</v>
      </c>
      <c r="E404" s="67">
        <v>4.41</v>
      </c>
      <c r="F404" s="67">
        <v>17.87</v>
      </c>
      <c r="G404" s="67">
        <v>129</v>
      </c>
      <c r="H404" s="67">
        <v>0.75</v>
      </c>
    </row>
    <row r="405" spans="1:8" ht="177.75" thickBot="1">
      <c r="A405" s="47">
        <v>2</v>
      </c>
      <c r="B405" s="24" t="s">
        <v>69</v>
      </c>
      <c r="C405" s="34">
        <v>180</v>
      </c>
      <c r="D405" s="48">
        <v>2.92</v>
      </c>
      <c r="E405" s="48">
        <v>3.08</v>
      </c>
      <c r="F405" s="48">
        <v>12.41</v>
      </c>
      <c r="G405" s="48">
        <v>86</v>
      </c>
      <c r="H405" s="48">
        <v>1.17</v>
      </c>
    </row>
    <row r="406" spans="1:8" ht="89.25" thickBot="1">
      <c r="A406" s="47">
        <v>86</v>
      </c>
      <c r="B406" s="24" t="s">
        <v>206</v>
      </c>
      <c r="C406" s="53" t="s">
        <v>155</v>
      </c>
      <c r="D406" s="52">
        <v>1.57</v>
      </c>
      <c r="E406" s="52">
        <v>0.16</v>
      </c>
      <c r="F406" s="52">
        <v>16.72</v>
      </c>
      <c r="G406" s="52">
        <v>73</v>
      </c>
      <c r="H406" s="52">
        <v>0.02</v>
      </c>
    </row>
    <row r="407" spans="1:8" ht="89.25" thickBot="1">
      <c r="A407" s="47"/>
      <c r="B407" s="24" t="s">
        <v>6</v>
      </c>
      <c r="C407" s="34">
        <f>C404+C405+C406</f>
        <v>360</v>
      </c>
      <c r="D407" s="52">
        <f>SUM(D404:D406)</f>
        <v>9.09</v>
      </c>
      <c r="E407" s="52">
        <f>SUM(E404+E405+E406)</f>
        <v>7.65</v>
      </c>
      <c r="F407" s="52">
        <f>SUM(F404+F405+F406)</f>
        <v>47</v>
      </c>
      <c r="G407" s="52">
        <f>SUM(G404+G405+G406)</f>
        <v>288</v>
      </c>
      <c r="H407" s="52">
        <f>SUM(H404+H405+H406)</f>
        <v>1.94</v>
      </c>
    </row>
    <row r="408" spans="1:8" ht="89.25" thickBot="1">
      <c r="A408" s="172" t="s">
        <v>53</v>
      </c>
      <c r="B408" s="173"/>
      <c r="C408" s="173"/>
      <c r="D408" s="173"/>
      <c r="E408" s="173"/>
      <c r="F408" s="173"/>
      <c r="G408" s="173"/>
      <c r="H408" s="174"/>
    </row>
    <row r="409" spans="1:8" ht="89.25" thickBot="1">
      <c r="A409" s="47" t="s">
        <v>32</v>
      </c>
      <c r="B409" s="24" t="s">
        <v>182</v>
      </c>
      <c r="C409" s="53" t="s">
        <v>26</v>
      </c>
      <c r="D409" s="52">
        <v>0.2</v>
      </c>
      <c r="E409" s="52">
        <v>0.11</v>
      </c>
      <c r="F409" s="52">
        <v>10.11</v>
      </c>
      <c r="G409" s="52">
        <v>46</v>
      </c>
      <c r="H409" s="52">
        <v>2</v>
      </c>
    </row>
    <row r="410" spans="1:8" ht="89.25" thickBot="1">
      <c r="A410" s="47"/>
      <c r="B410" s="24" t="s">
        <v>6</v>
      </c>
      <c r="C410" s="51" t="s">
        <v>26</v>
      </c>
      <c r="D410" s="52">
        <f>SUM(D409)</f>
        <v>0.2</v>
      </c>
      <c r="E410" s="52">
        <f>SUM(E409)</f>
        <v>0.11</v>
      </c>
      <c r="F410" s="52">
        <f>SUM(F409)</f>
        <v>10.11</v>
      </c>
      <c r="G410" s="52">
        <f>SUM(G409)</f>
        <v>46</v>
      </c>
      <c r="H410" s="52">
        <f>SUM(H409)</f>
        <v>2</v>
      </c>
    </row>
    <row r="411" spans="1:8" ht="89.25" thickBot="1">
      <c r="A411" s="172" t="s">
        <v>8</v>
      </c>
      <c r="B411" s="173"/>
      <c r="C411" s="173"/>
      <c r="D411" s="173"/>
      <c r="E411" s="173"/>
      <c r="F411" s="173"/>
      <c r="G411" s="173"/>
      <c r="H411" s="174"/>
    </row>
    <row r="412" spans="1:8" ht="177.75" thickBot="1">
      <c r="A412" s="54">
        <v>88</v>
      </c>
      <c r="B412" s="127" t="s">
        <v>213</v>
      </c>
      <c r="C412" s="53" t="s">
        <v>155</v>
      </c>
      <c r="D412" s="52">
        <v>0.27</v>
      </c>
      <c r="E412" s="52">
        <v>2.54</v>
      </c>
      <c r="F412" s="52">
        <v>0.45</v>
      </c>
      <c r="G412" s="52">
        <v>37</v>
      </c>
      <c r="H412" s="52">
        <v>0.96</v>
      </c>
    </row>
    <row r="413" spans="1:8" ht="177.75" thickBot="1">
      <c r="A413" s="47">
        <v>59</v>
      </c>
      <c r="B413" s="24" t="s">
        <v>265</v>
      </c>
      <c r="C413" s="53" t="s">
        <v>27</v>
      </c>
      <c r="D413" s="52">
        <v>3.47</v>
      </c>
      <c r="E413" s="52">
        <v>4.68</v>
      </c>
      <c r="F413" s="52">
        <v>5.84</v>
      </c>
      <c r="G413" s="52">
        <v>85</v>
      </c>
      <c r="H413" s="52">
        <v>7.25</v>
      </c>
    </row>
    <row r="414" spans="1:8" ht="89.25" thickBot="1">
      <c r="A414" s="54">
        <v>62</v>
      </c>
      <c r="B414" s="24" t="s">
        <v>235</v>
      </c>
      <c r="C414" s="51" t="s">
        <v>243</v>
      </c>
      <c r="D414" s="52">
        <v>11.15</v>
      </c>
      <c r="E414" s="52">
        <v>10.14</v>
      </c>
      <c r="F414" s="52">
        <v>28.06</v>
      </c>
      <c r="G414" s="52">
        <v>249</v>
      </c>
      <c r="H414" s="52">
        <v>1.45</v>
      </c>
    </row>
    <row r="415" spans="1:8" ht="354.75" thickBot="1">
      <c r="A415" s="47">
        <v>20</v>
      </c>
      <c r="B415" s="24" t="s">
        <v>232</v>
      </c>
      <c r="C415" s="53" t="s">
        <v>241</v>
      </c>
      <c r="D415" s="52">
        <v>0</v>
      </c>
      <c r="E415" s="52">
        <v>0</v>
      </c>
      <c r="F415" s="52">
        <v>22.71</v>
      </c>
      <c r="G415" s="52">
        <v>87.5</v>
      </c>
      <c r="H415" s="52">
        <v>0</v>
      </c>
    </row>
    <row r="416" spans="1:8" ht="177.75" thickBot="1">
      <c r="A416" s="47" t="s">
        <v>32</v>
      </c>
      <c r="B416" s="24" t="s">
        <v>56</v>
      </c>
      <c r="C416" s="34">
        <v>20</v>
      </c>
      <c r="D416" s="52">
        <v>1.6</v>
      </c>
      <c r="E416" s="52">
        <v>0.2</v>
      </c>
      <c r="F416" s="52">
        <v>9.64</v>
      </c>
      <c r="G416" s="52">
        <v>47.2</v>
      </c>
      <c r="H416" s="52">
        <v>0</v>
      </c>
    </row>
    <row r="417" spans="1:8" ht="177.75" thickBot="1">
      <c r="A417" s="47" t="s">
        <v>32</v>
      </c>
      <c r="B417" s="24" t="s">
        <v>58</v>
      </c>
      <c r="C417" s="34">
        <v>40</v>
      </c>
      <c r="D417" s="52">
        <v>2.24</v>
      </c>
      <c r="E417" s="52">
        <v>0.48</v>
      </c>
      <c r="F417" s="52">
        <v>19.76</v>
      </c>
      <c r="G417" s="52">
        <v>92.8</v>
      </c>
      <c r="H417" s="52">
        <v>0</v>
      </c>
    </row>
    <row r="418" spans="1:8" ht="89.25" thickBot="1">
      <c r="A418" s="54"/>
      <c r="B418" s="26" t="s">
        <v>29</v>
      </c>
      <c r="C418" s="34">
        <f aca="true" t="shared" si="28" ref="C418:H418">C412+C413+C414+C415+C416+C417</f>
        <v>535</v>
      </c>
      <c r="D418" s="48">
        <f t="shared" si="28"/>
        <v>18.730000000000004</v>
      </c>
      <c r="E418" s="48">
        <f t="shared" si="28"/>
        <v>18.04</v>
      </c>
      <c r="F418" s="48">
        <f t="shared" si="28"/>
        <v>86.46000000000001</v>
      </c>
      <c r="G418" s="48">
        <f t="shared" si="28"/>
        <v>598.5</v>
      </c>
      <c r="H418" s="48">
        <f t="shared" si="28"/>
        <v>9.66</v>
      </c>
    </row>
    <row r="419" spans="1:8" ht="89.25" thickBot="1">
      <c r="A419" s="172" t="s">
        <v>145</v>
      </c>
      <c r="B419" s="173"/>
      <c r="C419" s="173"/>
      <c r="D419" s="173"/>
      <c r="E419" s="173"/>
      <c r="F419" s="173"/>
      <c r="G419" s="173"/>
      <c r="H419" s="174"/>
    </row>
    <row r="420" spans="1:8" ht="266.25" thickBot="1">
      <c r="A420" s="55">
        <v>21.1</v>
      </c>
      <c r="B420" s="56" t="s">
        <v>172</v>
      </c>
      <c r="C420" s="51" t="s">
        <v>27</v>
      </c>
      <c r="D420" s="48">
        <v>4.35</v>
      </c>
      <c r="E420" s="48">
        <v>4.8</v>
      </c>
      <c r="F420" s="48">
        <v>6</v>
      </c>
      <c r="G420" s="48">
        <v>88.5</v>
      </c>
      <c r="H420" s="48">
        <v>1.05</v>
      </c>
    </row>
    <row r="421" spans="1:8" ht="177.75" thickBot="1">
      <c r="A421" s="54">
        <v>75</v>
      </c>
      <c r="B421" s="24" t="s">
        <v>214</v>
      </c>
      <c r="C421" s="51" t="s">
        <v>34</v>
      </c>
      <c r="D421" s="52">
        <v>5.4</v>
      </c>
      <c r="E421" s="52">
        <v>6.8</v>
      </c>
      <c r="F421" s="52">
        <v>18.3</v>
      </c>
      <c r="G421" s="52">
        <v>185.3</v>
      </c>
      <c r="H421" s="52">
        <v>0.11</v>
      </c>
    </row>
    <row r="422" spans="1:8" ht="89.25" thickBot="1">
      <c r="A422" s="54"/>
      <c r="B422" s="24" t="s">
        <v>29</v>
      </c>
      <c r="C422" s="34">
        <f aca="true" t="shared" si="29" ref="C422:H422">C420+C421</f>
        <v>210</v>
      </c>
      <c r="D422" s="52">
        <f t="shared" si="29"/>
        <v>9.75</v>
      </c>
      <c r="E422" s="52">
        <f t="shared" si="29"/>
        <v>11.6</v>
      </c>
      <c r="F422" s="52">
        <f t="shared" si="29"/>
        <v>24.3</v>
      </c>
      <c r="G422" s="52">
        <f t="shared" si="29"/>
        <v>273.8</v>
      </c>
      <c r="H422" s="52">
        <f t="shared" si="29"/>
        <v>1.1600000000000001</v>
      </c>
    </row>
    <row r="423" spans="1:8" ht="89.25" thickBot="1">
      <c r="A423" s="172" t="s">
        <v>144</v>
      </c>
      <c r="B423" s="173"/>
      <c r="C423" s="173"/>
      <c r="D423" s="173"/>
      <c r="E423" s="173"/>
      <c r="F423" s="173"/>
      <c r="G423" s="173"/>
      <c r="H423" s="174"/>
    </row>
    <row r="424" spans="1:8" ht="177.75" thickBot="1">
      <c r="A424" s="54">
        <v>44</v>
      </c>
      <c r="B424" s="24" t="s">
        <v>254</v>
      </c>
      <c r="C424" s="51" t="s">
        <v>28</v>
      </c>
      <c r="D424" s="52">
        <v>11.43</v>
      </c>
      <c r="E424" s="52">
        <v>2.98</v>
      </c>
      <c r="F424" s="52">
        <v>1.25</v>
      </c>
      <c r="G424" s="52">
        <v>76</v>
      </c>
      <c r="H424" s="52">
        <v>0.3</v>
      </c>
    </row>
    <row r="425" spans="1:8" ht="89.25" thickBot="1">
      <c r="A425" s="54">
        <v>79</v>
      </c>
      <c r="B425" s="24" t="s">
        <v>262</v>
      </c>
      <c r="C425" s="34">
        <v>115</v>
      </c>
      <c r="D425" s="52">
        <v>2.21</v>
      </c>
      <c r="E425" s="52">
        <v>5.1</v>
      </c>
      <c r="F425" s="52">
        <v>15.45</v>
      </c>
      <c r="G425" s="52">
        <v>116.51</v>
      </c>
      <c r="H425" s="52">
        <v>9.2</v>
      </c>
    </row>
    <row r="426" spans="1:8" ht="177.75" thickBot="1">
      <c r="A426" s="47" t="s">
        <v>32</v>
      </c>
      <c r="B426" s="24" t="s">
        <v>56</v>
      </c>
      <c r="C426" s="34">
        <v>15</v>
      </c>
      <c r="D426" s="52">
        <v>1.2</v>
      </c>
      <c r="E426" s="52">
        <v>0.15</v>
      </c>
      <c r="F426" s="52">
        <v>7.23</v>
      </c>
      <c r="G426" s="52">
        <v>35.4</v>
      </c>
      <c r="H426" s="52">
        <v>0</v>
      </c>
    </row>
    <row r="427" spans="1:8" ht="89.25" thickBot="1">
      <c r="A427" s="49">
        <v>31</v>
      </c>
      <c r="B427" s="50" t="s">
        <v>9</v>
      </c>
      <c r="C427" s="34">
        <v>180</v>
      </c>
      <c r="D427" s="48">
        <v>0.05</v>
      </c>
      <c r="E427" s="48">
        <v>0</v>
      </c>
      <c r="F427" s="48">
        <v>10.92</v>
      </c>
      <c r="G427" s="48">
        <v>42</v>
      </c>
      <c r="H427" s="48">
        <v>1.92</v>
      </c>
    </row>
    <row r="428" spans="1:8" ht="177.75" thickBot="1">
      <c r="A428" s="47">
        <v>69</v>
      </c>
      <c r="B428" s="24" t="s">
        <v>106</v>
      </c>
      <c r="C428" s="51" t="s">
        <v>253</v>
      </c>
      <c r="D428" s="52">
        <v>0.34</v>
      </c>
      <c r="E428" s="52">
        <v>0.34</v>
      </c>
      <c r="F428" s="52">
        <v>8.33</v>
      </c>
      <c r="G428" s="52">
        <v>39.95</v>
      </c>
      <c r="H428" s="52">
        <v>8.5</v>
      </c>
    </row>
    <row r="429" spans="1:8" ht="89.25" thickBot="1">
      <c r="A429" s="47"/>
      <c r="B429" s="24" t="s">
        <v>29</v>
      </c>
      <c r="C429" s="34">
        <f aca="true" t="shared" si="30" ref="C429:H429">C424+C425+C426+C427+C428</f>
        <v>475</v>
      </c>
      <c r="D429" s="52">
        <f t="shared" si="30"/>
        <v>15.23</v>
      </c>
      <c r="E429" s="52">
        <f t="shared" si="30"/>
        <v>8.57</v>
      </c>
      <c r="F429" s="52">
        <f t="shared" si="30"/>
        <v>43.18</v>
      </c>
      <c r="G429" s="52">
        <f t="shared" si="30"/>
        <v>309.85999999999996</v>
      </c>
      <c r="H429" s="52">
        <f t="shared" si="30"/>
        <v>19.92</v>
      </c>
    </row>
    <row r="430" spans="1:8" ht="89.25" thickBot="1">
      <c r="A430" s="47"/>
      <c r="B430" s="24"/>
      <c r="C430" s="51"/>
      <c r="D430" s="40" t="s">
        <v>0</v>
      </c>
      <c r="E430" s="41" t="s">
        <v>1</v>
      </c>
      <c r="F430" s="41" t="s">
        <v>2</v>
      </c>
      <c r="G430" s="149" t="s">
        <v>3</v>
      </c>
      <c r="H430" s="41" t="s">
        <v>4</v>
      </c>
    </row>
    <row r="431" spans="1:9" ht="89.25" thickBot="1">
      <c r="A431" s="47"/>
      <c r="B431" s="58" t="s">
        <v>10</v>
      </c>
      <c r="C431" s="51"/>
      <c r="D431" s="52">
        <f>D407+D410+D418+D422+D429</f>
        <v>53</v>
      </c>
      <c r="E431" s="52">
        <f>E407+E410+E418+E422+E429</f>
        <v>45.97</v>
      </c>
      <c r="F431" s="52">
        <f>F407+F410+F418+F422+F429</f>
        <v>211.05</v>
      </c>
      <c r="G431" s="52">
        <f>G407+G410+G418+G422+G429</f>
        <v>1516.1599999999999</v>
      </c>
      <c r="H431" s="52">
        <f>H407+H410+H418+H422+H429</f>
        <v>34.68</v>
      </c>
      <c r="I431" s="71"/>
    </row>
    <row r="432" spans="1:9" ht="116.25" customHeight="1" thickBot="1">
      <c r="A432" s="68"/>
      <c r="B432" s="69" t="s">
        <v>11</v>
      </c>
      <c r="C432" s="70"/>
      <c r="D432" s="52">
        <v>42</v>
      </c>
      <c r="E432" s="52">
        <v>47</v>
      </c>
      <c r="F432" s="52">
        <v>203</v>
      </c>
      <c r="G432" s="52">
        <v>1400</v>
      </c>
      <c r="H432" s="52">
        <v>45</v>
      </c>
      <c r="I432" s="71"/>
    </row>
    <row r="433" spans="1:9" s="72" customFormat="1" ht="235.5" customHeight="1" thickBot="1">
      <c r="A433" s="42"/>
      <c r="B433" s="59" t="s">
        <v>12</v>
      </c>
      <c r="C433" s="41"/>
      <c r="D433" s="60">
        <f>D431*100/D432</f>
        <v>126.19047619047619</v>
      </c>
      <c r="E433" s="60">
        <f>E431*100/E432</f>
        <v>97.80851063829788</v>
      </c>
      <c r="F433" s="60">
        <f>F431*100/F432</f>
        <v>103.96551724137932</v>
      </c>
      <c r="G433" s="60">
        <f>G431*100/G432</f>
        <v>108.29714285714286</v>
      </c>
      <c r="H433" s="60">
        <f>H431*100/H432</f>
        <v>77.06666666666666</v>
      </c>
      <c r="I433" s="71"/>
    </row>
    <row r="434" spans="1:8" ht="88.5">
      <c r="A434" s="61"/>
      <c r="B434" s="147"/>
      <c r="C434" s="146"/>
      <c r="D434" s="62"/>
      <c r="E434" s="62"/>
      <c r="F434" s="62"/>
      <c r="G434" s="62"/>
      <c r="H434" s="62"/>
    </row>
    <row r="435" spans="1:8" ht="88.5">
      <c r="A435" s="61"/>
      <c r="B435" s="38" t="s">
        <v>68</v>
      </c>
      <c r="C435" s="38"/>
      <c r="E435" s="62"/>
      <c r="F435" s="62"/>
      <c r="G435" s="62"/>
      <c r="H435" s="62"/>
    </row>
    <row r="436" spans="1:8" ht="102">
      <c r="A436" s="61"/>
      <c r="B436" s="71" t="s">
        <v>271</v>
      </c>
      <c r="C436" s="78"/>
      <c r="D436" s="71"/>
      <c r="E436" s="71"/>
      <c r="F436" s="71"/>
      <c r="G436" s="71"/>
      <c r="H436" s="71"/>
    </row>
    <row r="437" spans="1:8" ht="88.5">
      <c r="A437" s="61"/>
      <c r="B437" s="71" t="s">
        <v>67</v>
      </c>
      <c r="C437" s="78"/>
      <c r="D437" s="71"/>
      <c r="E437" s="71"/>
      <c r="F437" s="71"/>
      <c r="G437" s="71"/>
      <c r="H437" s="71"/>
    </row>
    <row r="438" spans="1:8" ht="88.5">
      <c r="A438" s="61"/>
      <c r="B438" s="71" t="s">
        <v>149</v>
      </c>
      <c r="C438" s="78"/>
      <c r="D438" s="71"/>
      <c r="E438" s="71"/>
      <c r="F438" s="71"/>
      <c r="G438" s="71"/>
      <c r="H438" s="71"/>
    </row>
    <row r="439" spans="1:8" ht="88.5">
      <c r="A439" s="175" t="s">
        <v>185</v>
      </c>
      <c r="B439" s="175"/>
      <c r="C439" s="175"/>
      <c r="D439" s="175"/>
      <c r="E439" s="175"/>
      <c r="F439" s="175"/>
      <c r="G439" s="175"/>
      <c r="H439" s="175"/>
    </row>
    <row r="440" spans="1:8" ht="88.5">
      <c r="A440" s="175" t="s">
        <v>48</v>
      </c>
      <c r="B440" s="175"/>
      <c r="C440" s="175"/>
      <c r="D440" s="175"/>
      <c r="E440" s="175"/>
      <c r="F440" s="175"/>
      <c r="G440" s="175"/>
      <c r="H440" s="175"/>
    </row>
    <row r="441" spans="1:8" ht="88.5">
      <c r="A441" s="176" t="s">
        <v>64</v>
      </c>
      <c r="B441" s="176"/>
      <c r="C441" s="176"/>
      <c r="D441" s="176"/>
      <c r="E441" s="176"/>
      <c r="F441" s="176"/>
      <c r="G441" s="176"/>
      <c r="H441" s="176"/>
    </row>
    <row r="442" spans="1:8" ht="89.25" thickBot="1">
      <c r="A442" s="177"/>
      <c r="B442" s="177"/>
      <c r="C442" s="177"/>
      <c r="D442" s="177"/>
      <c r="E442" s="177"/>
      <c r="F442" s="177"/>
      <c r="G442" s="177"/>
      <c r="H442" s="177"/>
    </row>
    <row r="443" spans="1:8" ht="89.25" thickBot="1">
      <c r="A443" s="178" t="s">
        <v>30</v>
      </c>
      <c r="B443" s="180" t="s">
        <v>50</v>
      </c>
      <c r="C443" s="183" t="s">
        <v>111</v>
      </c>
      <c r="D443" s="188" t="s">
        <v>24</v>
      </c>
      <c r="E443" s="189"/>
      <c r="F443" s="190"/>
      <c r="G443" s="180" t="s">
        <v>51</v>
      </c>
      <c r="H443" s="180" t="s">
        <v>112</v>
      </c>
    </row>
    <row r="444" spans="1:8" ht="89.25" thickBot="1">
      <c r="A444" s="179"/>
      <c r="B444" s="181"/>
      <c r="C444" s="184"/>
      <c r="D444" s="40" t="s">
        <v>0</v>
      </c>
      <c r="E444" s="41" t="s">
        <v>1</v>
      </c>
      <c r="F444" s="41" t="s">
        <v>2</v>
      </c>
      <c r="G444" s="181"/>
      <c r="H444" s="181"/>
    </row>
    <row r="445" spans="1:8" ht="89.25" thickBot="1">
      <c r="A445" s="42">
        <v>1</v>
      </c>
      <c r="B445" s="43">
        <v>2</v>
      </c>
      <c r="C445" s="44">
        <v>3</v>
      </c>
      <c r="D445" s="45">
        <v>4</v>
      </c>
      <c r="E445" s="43">
        <v>5</v>
      </c>
      <c r="F445" s="43">
        <v>6</v>
      </c>
      <c r="G445" s="43">
        <v>7</v>
      </c>
      <c r="H445" s="43">
        <v>8</v>
      </c>
    </row>
    <row r="446" spans="1:8" ht="89.25" thickBot="1">
      <c r="A446" s="172" t="s">
        <v>5</v>
      </c>
      <c r="B446" s="173"/>
      <c r="C446" s="173"/>
      <c r="D446" s="173"/>
      <c r="E446" s="173"/>
      <c r="F446" s="173"/>
      <c r="G446" s="173"/>
      <c r="H446" s="174"/>
    </row>
    <row r="447" spans="1:8" ht="177.75" thickBot="1">
      <c r="A447" s="54">
        <v>85</v>
      </c>
      <c r="B447" s="26" t="s">
        <v>103</v>
      </c>
      <c r="C447" s="34">
        <v>120</v>
      </c>
      <c r="D447" s="48">
        <v>6.41</v>
      </c>
      <c r="E447" s="48">
        <v>6.63</v>
      </c>
      <c r="F447" s="48">
        <v>27.89</v>
      </c>
      <c r="G447" s="48">
        <v>201</v>
      </c>
      <c r="H447" s="48">
        <v>0.06</v>
      </c>
    </row>
    <row r="448" spans="1:8" ht="89.25" thickBot="1">
      <c r="A448" s="47">
        <v>41</v>
      </c>
      <c r="B448" s="24" t="s">
        <v>101</v>
      </c>
      <c r="C448" s="53" t="s">
        <v>258</v>
      </c>
      <c r="D448" s="52">
        <v>0.48</v>
      </c>
      <c r="E448" s="52">
        <v>1.89</v>
      </c>
      <c r="F448" s="52">
        <v>3.09</v>
      </c>
      <c r="G448" s="52">
        <v>31.2</v>
      </c>
      <c r="H448" s="52">
        <v>3.84</v>
      </c>
    </row>
    <row r="449" spans="1:8" ht="89.25" thickBot="1">
      <c r="A449" s="49">
        <v>31</v>
      </c>
      <c r="B449" s="50" t="s">
        <v>9</v>
      </c>
      <c r="C449" s="34">
        <v>180</v>
      </c>
      <c r="D449" s="48">
        <v>0.05</v>
      </c>
      <c r="E449" s="48">
        <v>0</v>
      </c>
      <c r="F449" s="48">
        <v>10.92</v>
      </c>
      <c r="G449" s="48">
        <v>42</v>
      </c>
      <c r="H449" s="48">
        <v>1.92</v>
      </c>
    </row>
    <row r="450" spans="1:8" ht="89.25" thickBot="1">
      <c r="A450" s="47">
        <v>16</v>
      </c>
      <c r="B450" s="24" t="s">
        <v>36</v>
      </c>
      <c r="C450" s="53" t="s">
        <v>240</v>
      </c>
      <c r="D450" s="52">
        <v>1.56</v>
      </c>
      <c r="E450" s="52">
        <v>3.73</v>
      </c>
      <c r="F450" s="52">
        <v>9.9</v>
      </c>
      <c r="G450" s="52">
        <v>79</v>
      </c>
      <c r="H450" s="52">
        <v>0</v>
      </c>
    </row>
    <row r="451" spans="1:8" ht="89.25" thickBot="1">
      <c r="A451" s="47"/>
      <c r="B451" s="24" t="s">
        <v>6</v>
      </c>
      <c r="C451" s="34">
        <f>C447+C448+C449+C450</f>
        <v>365</v>
      </c>
      <c r="D451" s="52">
        <f>SUM(D447:D450)</f>
        <v>8.5</v>
      </c>
      <c r="E451" s="52">
        <f>SUM(E447:E450)</f>
        <v>12.25</v>
      </c>
      <c r="F451" s="52">
        <f>SUM(F447:F450)</f>
        <v>51.8</v>
      </c>
      <c r="G451" s="52">
        <f>SUM(G447:G450)</f>
        <v>353.2</v>
      </c>
      <c r="H451" s="52">
        <f>SUM(H447:H450)</f>
        <v>5.82</v>
      </c>
    </row>
    <row r="452" spans="1:8" ht="89.25" thickBot="1">
      <c r="A452" s="172" t="s">
        <v>53</v>
      </c>
      <c r="B452" s="173"/>
      <c r="C452" s="173"/>
      <c r="D452" s="173"/>
      <c r="E452" s="173"/>
      <c r="F452" s="173"/>
      <c r="G452" s="173"/>
      <c r="H452" s="174"/>
    </row>
    <row r="453" spans="1:8" ht="89.25" thickBot="1">
      <c r="A453" s="47" t="s">
        <v>32</v>
      </c>
      <c r="B453" s="24" t="s">
        <v>182</v>
      </c>
      <c r="C453" s="53" t="s">
        <v>26</v>
      </c>
      <c r="D453" s="52">
        <v>0.2</v>
      </c>
      <c r="E453" s="52">
        <v>0.11</v>
      </c>
      <c r="F453" s="52">
        <v>10.11</v>
      </c>
      <c r="G453" s="52">
        <v>46</v>
      </c>
      <c r="H453" s="52">
        <v>2</v>
      </c>
    </row>
    <row r="454" spans="1:8" ht="89.25" thickBot="1">
      <c r="A454" s="47"/>
      <c r="B454" s="24" t="s">
        <v>6</v>
      </c>
      <c r="C454" s="51" t="s">
        <v>26</v>
      </c>
      <c r="D454" s="52">
        <f>SUM(D453)</f>
        <v>0.2</v>
      </c>
      <c r="E454" s="52">
        <f>SUM(E453)</f>
        <v>0.11</v>
      </c>
      <c r="F454" s="52">
        <f>SUM(F453)</f>
        <v>10.11</v>
      </c>
      <c r="G454" s="52">
        <f>SUM(G453)</f>
        <v>46</v>
      </c>
      <c r="H454" s="52">
        <f>SUM(H453)</f>
        <v>2</v>
      </c>
    </row>
    <row r="455" spans="1:8" ht="89.25" thickBot="1">
      <c r="A455" s="185" t="s">
        <v>31</v>
      </c>
      <c r="B455" s="186"/>
      <c r="C455" s="186"/>
      <c r="D455" s="186"/>
      <c r="E455" s="186"/>
      <c r="F455" s="186"/>
      <c r="G455" s="186"/>
      <c r="H455" s="187"/>
    </row>
    <row r="456" spans="1:8" ht="266.25" thickBot="1">
      <c r="A456" s="54">
        <v>38</v>
      </c>
      <c r="B456" s="24" t="s">
        <v>268</v>
      </c>
      <c r="C456" s="34">
        <v>35</v>
      </c>
      <c r="D456" s="52">
        <v>1.75</v>
      </c>
      <c r="E456" s="52">
        <v>0.07</v>
      </c>
      <c r="F456" s="52">
        <v>2.91</v>
      </c>
      <c r="G456" s="52">
        <v>19.25</v>
      </c>
      <c r="H456" s="52">
        <v>3.5</v>
      </c>
    </row>
    <row r="457" spans="1:8" ht="266.25" thickBot="1">
      <c r="A457" s="47">
        <v>5</v>
      </c>
      <c r="B457" s="24" t="s">
        <v>175</v>
      </c>
      <c r="C457" s="51" t="s">
        <v>27</v>
      </c>
      <c r="D457" s="52">
        <v>2.22</v>
      </c>
      <c r="E457" s="52">
        <v>3.59</v>
      </c>
      <c r="F457" s="52">
        <v>6.25</v>
      </c>
      <c r="G457" s="52">
        <v>72.27</v>
      </c>
      <c r="H457" s="52">
        <v>6.75</v>
      </c>
    </row>
    <row r="458" spans="1:8" ht="89.25" thickBot="1">
      <c r="A458" s="47">
        <v>61</v>
      </c>
      <c r="B458" s="24" t="s">
        <v>267</v>
      </c>
      <c r="C458" s="51" t="s">
        <v>27</v>
      </c>
      <c r="D458" s="52">
        <v>14.31</v>
      </c>
      <c r="E458" s="52">
        <v>13.25</v>
      </c>
      <c r="F458" s="52">
        <v>25.37</v>
      </c>
      <c r="G458" s="52">
        <v>275.18</v>
      </c>
      <c r="H458" s="52">
        <v>2.02</v>
      </c>
    </row>
    <row r="459" spans="1:8" ht="89.25" thickBot="1">
      <c r="A459" s="47">
        <v>9</v>
      </c>
      <c r="B459" s="26" t="s">
        <v>207</v>
      </c>
      <c r="C459" s="53" t="s">
        <v>27</v>
      </c>
      <c r="D459" s="52">
        <v>0.27</v>
      </c>
      <c r="E459" s="52">
        <v>0</v>
      </c>
      <c r="F459" s="52">
        <v>19.88</v>
      </c>
      <c r="G459" s="52">
        <v>79</v>
      </c>
      <c r="H459" s="52">
        <v>0</v>
      </c>
    </row>
    <row r="460" spans="1:8" ht="177.75" thickBot="1">
      <c r="A460" s="47" t="s">
        <v>32</v>
      </c>
      <c r="B460" s="24" t="s">
        <v>56</v>
      </c>
      <c r="C460" s="34">
        <v>20</v>
      </c>
      <c r="D460" s="52">
        <v>1.6</v>
      </c>
      <c r="E460" s="52">
        <v>0.2</v>
      </c>
      <c r="F460" s="52">
        <v>9.64</v>
      </c>
      <c r="G460" s="52">
        <v>47.2</v>
      </c>
      <c r="H460" s="52">
        <v>0</v>
      </c>
    </row>
    <row r="461" spans="1:8" ht="177.75" thickBot="1">
      <c r="A461" s="47" t="s">
        <v>32</v>
      </c>
      <c r="B461" s="24" t="s">
        <v>58</v>
      </c>
      <c r="C461" s="34">
        <v>40</v>
      </c>
      <c r="D461" s="52">
        <v>2.24</v>
      </c>
      <c r="E461" s="52">
        <v>0.48</v>
      </c>
      <c r="F461" s="52">
        <v>19.76</v>
      </c>
      <c r="G461" s="52">
        <v>92.8</v>
      </c>
      <c r="H461" s="52">
        <v>0</v>
      </c>
    </row>
    <row r="462" spans="1:8" ht="89.25" thickBot="1">
      <c r="A462" s="42"/>
      <c r="B462" s="24" t="s">
        <v>6</v>
      </c>
      <c r="C462" s="34">
        <f aca="true" t="shared" si="31" ref="C462:H462">C456+C457+C458+C459+C460+C461</f>
        <v>545</v>
      </c>
      <c r="D462" s="52">
        <f t="shared" si="31"/>
        <v>22.39</v>
      </c>
      <c r="E462" s="52">
        <f t="shared" si="31"/>
        <v>17.59</v>
      </c>
      <c r="F462" s="52">
        <f t="shared" si="31"/>
        <v>83.81</v>
      </c>
      <c r="G462" s="52">
        <f t="shared" si="31"/>
        <v>585.6999999999999</v>
      </c>
      <c r="H462" s="52">
        <f t="shared" si="31"/>
        <v>12.27</v>
      </c>
    </row>
    <row r="463" spans="1:8" ht="89.25" thickBot="1">
      <c r="A463" s="172" t="s">
        <v>145</v>
      </c>
      <c r="B463" s="173"/>
      <c r="C463" s="173"/>
      <c r="D463" s="173"/>
      <c r="E463" s="173"/>
      <c r="F463" s="173"/>
      <c r="G463" s="173"/>
      <c r="H463" s="174"/>
    </row>
    <row r="464" spans="1:8" ht="176.25" customHeight="1" thickBot="1">
      <c r="A464" s="55">
        <v>21.1</v>
      </c>
      <c r="B464" s="56" t="s">
        <v>172</v>
      </c>
      <c r="C464" s="51" t="s">
        <v>27</v>
      </c>
      <c r="D464" s="48">
        <v>4.35</v>
      </c>
      <c r="E464" s="48">
        <v>4.8</v>
      </c>
      <c r="F464" s="48">
        <v>6</v>
      </c>
      <c r="G464" s="48">
        <v>88.5</v>
      </c>
      <c r="H464" s="48">
        <v>1.05</v>
      </c>
    </row>
    <row r="465" spans="1:8" ht="176.25" customHeight="1" thickBot="1">
      <c r="A465" s="47">
        <v>48</v>
      </c>
      <c r="B465" s="24" t="s">
        <v>217</v>
      </c>
      <c r="C465" s="51" t="s">
        <v>34</v>
      </c>
      <c r="D465" s="52">
        <v>4.89</v>
      </c>
      <c r="E465" s="52">
        <v>6.63</v>
      </c>
      <c r="F465" s="52">
        <v>31.55</v>
      </c>
      <c r="G465" s="52">
        <v>220.29</v>
      </c>
      <c r="H465" s="52">
        <v>0.25</v>
      </c>
    </row>
    <row r="466" spans="1:8" ht="89.25" thickBot="1">
      <c r="A466" s="54"/>
      <c r="B466" s="24" t="s">
        <v>29</v>
      </c>
      <c r="C466" s="34">
        <f aca="true" t="shared" si="32" ref="C466:H466">C464+C465</f>
        <v>210</v>
      </c>
      <c r="D466" s="60">
        <f t="shared" si="32"/>
        <v>9.239999999999998</v>
      </c>
      <c r="E466" s="60">
        <f t="shared" si="32"/>
        <v>11.43</v>
      </c>
      <c r="F466" s="60">
        <f t="shared" si="32"/>
        <v>37.55</v>
      </c>
      <c r="G466" s="60">
        <f t="shared" si="32"/>
        <v>308.78999999999996</v>
      </c>
      <c r="H466" s="60">
        <f t="shared" si="32"/>
        <v>1.3</v>
      </c>
    </row>
    <row r="467" spans="1:8" ht="89.25" thickBot="1">
      <c r="A467" s="185" t="s">
        <v>144</v>
      </c>
      <c r="B467" s="186"/>
      <c r="C467" s="186"/>
      <c r="D467" s="186"/>
      <c r="E467" s="186"/>
      <c r="F467" s="186"/>
      <c r="G467" s="186"/>
      <c r="H467" s="187"/>
    </row>
    <row r="468" spans="1:8" ht="89.25" thickBot="1">
      <c r="A468" s="47">
        <v>27</v>
      </c>
      <c r="B468" s="24" t="s">
        <v>73</v>
      </c>
      <c r="C468" s="34">
        <v>230</v>
      </c>
      <c r="D468" s="52">
        <v>3.84</v>
      </c>
      <c r="E468" s="52">
        <v>6.18</v>
      </c>
      <c r="F468" s="52">
        <v>17.25</v>
      </c>
      <c r="G468" s="52">
        <v>163</v>
      </c>
      <c r="H468" s="52">
        <v>10.76</v>
      </c>
    </row>
    <row r="469" spans="1:8" ht="89.25" thickBot="1">
      <c r="A469" s="54">
        <v>15</v>
      </c>
      <c r="B469" s="50" t="s">
        <v>224</v>
      </c>
      <c r="C469" s="34">
        <v>180</v>
      </c>
      <c r="D469" s="52">
        <v>2.79</v>
      </c>
      <c r="E469" s="52">
        <v>3.04</v>
      </c>
      <c r="F469" s="52">
        <v>12.32</v>
      </c>
      <c r="G469" s="52">
        <v>87</v>
      </c>
      <c r="H469" s="52">
        <v>1.17</v>
      </c>
    </row>
    <row r="470" spans="1:8" ht="177.75" thickBot="1">
      <c r="A470" s="47">
        <v>69</v>
      </c>
      <c r="B470" s="24" t="s">
        <v>106</v>
      </c>
      <c r="C470" s="51" t="s">
        <v>253</v>
      </c>
      <c r="D470" s="52">
        <v>0.34</v>
      </c>
      <c r="E470" s="52">
        <v>0.34</v>
      </c>
      <c r="F470" s="52">
        <v>8.33</v>
      </c>
      <c r="G470" s="52">
        <v>39.95</v>
      </c>
      <c r="H470" s="52">
        <v>8.5</v>
      </c>
    </row>
    <row r="471" spans="1:8" ht="177.75" thickBot="1">
      <c r="A471" s="47" t="s">
        <v>32</v>
      </c>
      <c r="B471" s="24" t="s">
        <v>56</v>
      </c>
      <c r="C471" s="34">
        <v>15</v>
      </c>
      <c r="D471" s="52">
        <v>1.2</v>
      </c>
      <c r="E471" s="52">
        <v>0.15</v>
      </c>
      <c r="F471" s="52">
        <v>7.23</v>
      </c>
      <c r="G471" s="52">
        <v>35.4</v>
      </c>
      <c r="H471" s="52">
        <v>0</v>
      </c>
    </row>
    <row r="472" spans="1:8" ht="89.25" thickBot="1">
      <c r="A472" s="42"/>
      <c r="B472" s="24" t="s">
        <v>6</v>
      </c>
      <c r="C472" s="34">
        <f aca="true" t="shared" si="33" ref="C472:H472">C468+C469+C470+C471</f>
        <v>510</v>
      </c>
      <c r="D472" s="52">
        <f t="shared" si="33"/>
        <v>8.17</v>
      </c>
      <c r="E472" s="52">
        <f t="shared" si="33"/>
        <v>9.709999999999999</v>
      </c>
      <c r="F472" s="52">
        <f t="shared" si="33"/>
        <v>45.129999999999995</v>
      </c>
      <c r="G472" s="52">
        <f t="shared" si="33"/>
        <v>325.34999999999997</v>
      </c>
      <c r="H472" s="52">
        <f t="shared" si="33"/>
        <v>20.43</v>
      </c>
    </row>
    <row r="473" spans="1:8" ht="89.25" thickBot="1">
      <c r="A473" s="47"/>
      <c r="B473" s="24"/>
      <c r="C473" s="51"/>
      <c r="D473" s="40" t="s">
        <v>0</v>
      </c>
      <c r="E473" s="41" t="s">
        <v>1</v>
      </c>
      <c r="F473" s="41" t="s">
        <v>2</v>
      </c>
      <c r="G473" s="149" t="s">
        <v>3</v>
      </c>
      <c r="H473" s="41" t="s">
        <v>4</v>
      </c>
    </row>
    <row r="474" spans="1:8" ht="89.25" thickBot="1">
      <c r="A474" s="47"/>
      <c r="B474" s="58" t="s">
        <v>10</v>
      </c>
      <c r="C474" s="51"/>
      <c r="D474" s="52">
        <f>D451+D454+D462+D466+D472</f>
        <v>48.5</v>
      </c>
      <c r="E474" s="52">
        <f>E451+E454+E462+E466+E472</f>
        <v>51.089999999999996</v>
      </c>
      <c r="F474" s="52">
        <f>F451+F454+F462+F466+F472</f>
        <v>228.39999999999998</v>
      </c>
      <c r="G474" s="52">
        <f>G451+G454+G462+G466+G472</f>
        <v>1619.0399999999997</v>
      </c>
      <c r="H474" s="52">
        <f>H451+H454+H462+H466+H472</f>
        <v>41.82</v>
      </c>
    </row>
    <row r="475" spans="1:8" ht="111" customHeight="1" thickBot="1">
      <c r="A475" s="47"/>
      <c r="B475" s="58" t="s">
        <v>11</v>
      </c>
      <c r="C475" s="51"/>
      <c r="D475" s="52">
        <v>42</v>
      </c>
      <c r="E475" s="52">
        <v>47</v>
      </c>
      <c r="F475" s="52">
        <v>203</v>
      </c>
      <c r="G475" s="52">
        <v>1400</v>
      </c>
      <c r="H475" s="52">
        <v>45</v>
      </c>
    </row>
    <row r="476" spans="1:8" ht="190.5" customHeight="1" thickBot="1">
      <c r="A476" s="42"/>
      <c r="B476" s="59" t="s">
        <v>12</v>
      </c>
      <c r="C476" s="41"/>
      <c r="D476" s="60">
        <f>D474*100/D475</f>
        <v>115.47619047619048</v>
      </c>
      <c r="E476" s="60">
        <f>E474*100/E475</f>
        <v>108.70212765957447</v>
      </c>
      <c r="F476" s="60">
        <f>F474*100/F475</f>
        <v>112.51231527093594</v>
      </c>
      <c r="G476" s="60">
        <f>G474*100/G475</f>
        <v>115.64571428571426</v>
      </c>
      <c r="H476" s="60">
        <f>H474*100/H475</f>
        <v>92.93333333333334</v>
      </c>
    </row>
    <row r="477" spans="1:8" ht="88.5">
      <c r="A477" s="61"/>
      <c r="B477" s="147"/>
      <c r="C477" s="146"/>
      <c r="D477" s="62"/>
      <c r="E477" s="62"/>
      <c r="F477" s="62"/>
      <c r="G477" s="62"/>
      <c r="H477" s="62"/>
    </row>
    <row r="478" spans="1:8" ht="88.5">
      <c r="A478" s="61"/>
      <c r="B478" s="38" t="s">
        <v>68</v>
      </c>
      <c r="C478" s="38"/>
      <c r="E478" s="62"/>
      <c r="F478" s="62"/>
      <c r="G478" s="62"/>
      <c r="H478" s="62"/>
    </row>
    <row r="479" spans="1:2" ht="102">
      <c r="A479" s="61"/>
      <c r="B479" s="38" t="s">
        <v>271</v>
      </c>
    </row>
    <row r="480" spans="1:2" ht="88.5">
      <c r="A480" s="61"/>
      <c r="B480" s="38" t="s">
        <v>67</v>
      </c>
    </row>
    <row r="481" spans="1:2" ht="88.5">
      <c r="A481" s="61"/>
      <c r="B481" s="38" t="s">
        <v>149</v>
      </c>
    </row>
    <row r="482" spans="1:8" ht="88.5">
      <c r="A482" s="61"/>
      <c r="B482" s="147"/>
      <c r="C482" s="146"/>
      <c r="D482" s="62"/>
      <c r="E482" s="62"/>
      <c r="F482" s="62"/>
      <c r="G482" s="62"/>
      <c r="H482" s="62"/>
    </row>
    <row r="483" spans="1:8" ht="88.5">
      <c r="A483" s="175" t="s">
        <v>189</v>
      </c>
      <c r="B483" s="175"/>
      <c r="C483" s="175"/>
      <c r="D483" s="175"/>
      <c r="E483" s="175"/>
      <c r="F483" s="175"/>
      <c r="G483" s="175"/>
      <c r="H483" s="175"/>
    </row>
    <row r="484" spans="1:8" ht="89.25" thickBot="1">
      <c r="A484" s="182" t="s">
        <v>48</v>
      </c>
      <c r="B484" s="182"/>
      <c r="C484" s="182"/>
      <c r="D484" s="182"/>
      <c r="E484" s="182"/>
      <c r="F484" s="182"/>
      <c r="G484" s="182"/>
      <c r="H484" s="182"/>
    </row>
    <row r="485" spans="1:9" s="72" customFormat="1" ht="89.25" thickBot="1">
      <c r="A485" s="176" t="s">
        <v>64</v>
      </c>
      <c r="B485" s="176"/>
      <c r="C485" s="176"/>
      <c r="D485" s="176"/>
      <c r="E485" s="176"/>
      <c r="F485" s="176"/>
      <c r="G485" s="176"/>
      <c r="H485" s="176"/>
      <c r="I485" s="71"/>
    </row>
    <row r="486" spans="1:8" ht="89.25" thickBot="1">
      <c r="A486" s="147"/>
      <c r="B486" s="147"/>
      <c r="C486" s="147"/>
      <c r="D486" s="147"/>
      <c r="E486" s="147"/>
      <c r="F486" s="147"/>
      <c r="G486" s="147"/>
      <c r="H486" s="147"/>
    </row>
    <row r="487" spans="1:8" ht="89.25" thickBot="1">
      <c r="A487" s="178" t="s">
        <v>30</v>
      </c>
      <c r="B487" s="180" t="s">
        <v>50</v>
      </c>
      <c r="C487" s="183" t="s">
        <v>111</v>
      </c>
      <c r="D487" s="172" t="s">
        <v>24</v>
      </c>
      <c r="E487" s="173"/>
      <c r="F487" s="174"/>
      <c r="G487" s="180" t="s">
        <v>51</v>
      </c>
      <c r="H487" s="180" t="s">
        <v>112</v>
      </c>
    </row>
    <row r="488" spans="1:8" ht="89.25" thickBot="1">
      <c r="A488" s="179"/>
      <c r="B488" s="181"/>
      <c r="C488" s="184"/>
      <c r="D488" s="40" t="s">
        <v>0</v>
      </c>
      <c r="E488" s="41" t="s">
        <v>1</v>
      </c>
      <c r="F488" s="41" t="s">
        <v>2</v>
      </c>
      <c r="G488" s="181"/>
      <c r="H488" s="181"/>
    </row>
    <row r="489" spans="1:8" ht="89.25" thickBot="1">
      <c r="A489" s="42">
        <v>1</v>
      </c>
      <c r="B489" s="43">
        <v>2</v>
      </c>
      <c r="C489" s="44">
        <v>3</v>
      </c>
      <c r="D489" s="45">
        <v>4</v>
      </c>
      <c r="E489" s="43">
        <v>5</v>
      </c>
      <c r="F489" s="43">
        <v>6</v>
      </c>
      <c r="G489" s="43">
        <v>7</v>
      </c>
      <c r="H489" s="43">
        <v>8</v>
      </c>
    </row>
    <row r="490" spans="1:8" ht="89.25" thickBot="1">
      <c r="A490" s="172" t="s">
        <v>5</v>
      </c>
      <c r="B490" s="173"/>
      <c r="C490" s="173"/>
      <c r="D490" s="173"/>
      <c r="E490" s="173"/>
      <c r="F490" s="173"/>
      <c r="G490" s="173"/>
      <c r="H490" s="174"/>
    </row>
    <row r="491" spans="1:8" ht="177.75" thickBot="1">
      <c r="A491" s="54">
        <v>23</v>
      </c>
      <c r="B491" s="26" t="s">
        <v>162</v>
      </c>
      <c r="C491" s="51" t="s">
        <v>27</v>
      </c>
      <c r="D491" s="48">
        <v>5.03</v>
      </c>
      <c r="E491" s="48">
        <v>5.3</v>
      </c>
      <c r="F491" s="48">
        <v>21.54</v>
      </c>
      <c r="G491" s="48">
        <v>152</v>
      </c>
      <c r="H491" s="48">
        <v>1.47</v>
      </c>
    </row>
    <row r="492" spans="1:8" ht="177.75" thickBot="1">
      <c r="A492" s="47">
        <v>2</v>
      </c>
      <c r="B492" s="24" t="s">
        <v>69</v>
      </c>
      <c r="C492" s="34">
        <v>180</v>
      </c>
      <c r="D492" s="48">
        <v>2.92</v>
      </c>
      <c r="E492" s="48">
        <v>3.08</v>
      </c>
      <c r="F492" s="48">
        <v>12.41</v>
      </c>
      <c r="G492" s="48">
        <v>86</v>
      </c>
      <c r="H492" s="48">
        <v>1.17</v>
      </c>
    </row>
    <row r="493" spans="1:9" ht="177.75" thickBot="1">
      <c r="A493" s="47">
        <v>3</v>
      </c>
      <c r="B493" s="24" t="s">
        <v>38</v>
      </c>
      <c r="C493" s="51" t="s">
        <v>259</v>
      </c>
      <c r="D493" s="52">
        <v>3.42</v>
      </c>
      <c r="E493" s="52">
        <v>6.09</v>
      </c>
      <c r="F493" s="52">
        <v>9.9</v>
      </c>
      <c r="G493" s="52">
        <v>108</v>
      </c>
      <c r="H493" s="52">
        <v>0.06</v>
      </c>
      <c r="I493" s="74"/>
    </row>
    <row r="494" spans="1:8" ht="89.25" thickBot="1">
      <c r="A494" s="47"/>
      <c r="B494" s="24" t="s">
        <v>6</v>
      </c>
      <c r="C494" s="34">
        <f>C491+C492+C493</f>
        <v>363</v>
      </c>
      <c r="D494" s="52">
        <f>SUM(D491:D493)</f>
        <v>11.370000000000001</v>
      </c>
      <c r="E494" s="52">
        <f>SUM(E491:E493)</f>
        <v>14.469999999999999</v>
      </c>
      <c r="F494" s="52">
        <f>SUM(F491:F493)</f>
        <v>43.85</v>
      </c>
      <c r="G494" s="52">
        <f>SUM(G491:G493)</f>
        <v>346</v>
      </c>
      <c r="H494" s="52">
        <f>SUM(H491:H493)</f>
        <v>2.6999999999999997</v>
      </c>
    </row>
    <row r="495" spans="1:8" ht="89.25" thickBot="1">
      <c r="A495" s="172" t="s">
        <v>53</v>
      </c>
      <c r="B495" s="173"/>
      <c r="C495" s="173"/>
      <c r="D495" s="173"/>
      <c r="E495" s="173"/>
      <c r="F495" s="173"/>
      <c r="G495" s="173"/>
      <c r="H495" s="174"/>
    </row>
    <row r="496" spans="1:8" ht="89.25" thickBot="1">
      <c r="A496" s="47" t="s">
        <v>32</v>
      </c>
      <c r="B496" s="24" t="s">
        <v>182</v>
      </c>
      <c r="C496" s="53" t="s">
        <v>26</v>
      </c>
      <c r="D496" s="52">
        <v>0.2</v>
      </c>
      <c r="E496" s="52">
        <v>0.11</v>
      </c>
      <c r="F496" s="52">
        <v>10.11</v>
      </c>
      <c r="G496" s="52">
        <v>46</v>
      </c>
      <c r="H496" s="52">
        <v>2</v>
      </c>
    </row>
    <row r="497" spans="1:8" ht="89.25" thickBot="1">
      <c r="A497" s="47"/>
      <c r="B497" s="24" t="s">
        <v>6</v>
      </c>
      <c r="C497" s="51" t="s">
        <v>26</v>
      </c>
      <c r="D497" s="52">
        <f>SUM(D496)</f>
        <v>0.2</v>
      </c>
      <c r="E497" s="52">
        <f>SUM(E496)</f>
        <v>0.11</v>
      </c>
      <c r="F497" s="52">
        <f>SUM(F496)</f>
        <v>10.11</v>
      </c>
      <c r="G497" s="52">
        <f>SUM(G496)</f>
        <v>46</v>
      </c>
      <c r="H497" s="52">
        <f>SUM(H496)</f>
        <v>2</v>
      </c>
    </row>
    <row r="498" spans="1:8" ht="89.25" thickBot="1">
      <c r="A498" s="172" t="s">
        <v>8</v>
      </c>
      <c r="B498" s="173"/>
      <c r="C498" s="173"/>
      <c r="D498" s="173"/>
      <c r="E498" s="173"/>
      <c r="F498" s="173"/>
      <c r="G498" s="173"/>
      <c r="H498" s="174"/>
    </row>
    <row r="499" spans="1:8" ht="177.75" thickBot="1">
      <c r="A499" s="54">
        <v>82</v>
      </c>
      <c r="B499" s="24" t="s">
        <v>229</v>
      </c>
      <c r="C499" s="53" t="s">
        <v>155</v>
      </c>
      <c r="D499" s="52">
        <v>0.77</v>
      </c>
      <c r="E499" s="52">
        <v>2.28</v>
      </c>
      <c r="F499" s="52">
        <v>3.69</v>
      </c>
      <c r="G499" s="52">
        <v>40.5</v>
      </c>
      <c r="H499" s="52">
        <v>4.33</v>
      </c>
    </row>
    <row r="500" spans="1:8" ht="177.75" thickBot="1">
      <c r="A500" s="47">
        <v>18</v>
      </c>
      <c r="B500" s="24" t="s">
        <v>216</v>
      </c>
      <c r="C500" s="51" t="s">
        <v>27</v>
      </c>
      <c r="D500" s="52">
        <v>2.49</v>
      </c>
      <c r="E500" s="52">
        <v>3.62</v>
      </c>
      <c r="F500" s="52">
        <v>11.81</v>
      </c>
      <c r="G500" s="52">
        <v>86.25</v>
      </c>
      <c r="H500" s="52">
        <v>4.73</v>
      </c>
    </row>
    <row r="501" spans="1:8" ht="177.75" thickBot="1">
      <c r="A501" s="64">
        <v>64</v>
      </c>
      <c r="B501" s="65" t="s">
        <v>179</v>
      </c>
      <c r="C501" s="66">
        <v>60</v>
      </c>
      <c r="D501" s="67">
        <v>7.69</v>
      </c>
      <c r="E501" s="67">
        <v>8.14</v>
      </c>
      <c r="F501" s="67">
        <v>6.26</v>
      </c>
      <c r="G501" s="67">
        <v>129</v>
      </c>
      <c r="H501" s="67">
        <v>0.67</v>
      </c>
    </row>
    <row r="502" spans="1:8" ht="89.25" thickBot="1">
      <c r="A502" s="47">
        <v>89</v>
      </c>
      <c r="B502" s="24" t="s">
        <v>230</v>
      </c>
      <c r="C502" s="34">
        <v>15</v>
      </c>
      <c r="D502" s="52">
        <v>0.3</v>
      </c>
      <c r="E502" s="52">
        <v>3.37</v>
      </c>
      <c r="F502" s="52">
        <v>1.08</v>
      </c>
      <c r="G502" s="52">
        <v>30</v>
      </c>
      <c r="H502" s="52">
        <v>0.01</v>
      </c>
    </row>
    <row r="503" spans="1:8" ht="89.25" thickBot="1">
      <c r="A503" s="54">
        <v>8</v>
      </c>
      <c r="B503" s="24" t="s">
        <v>37</v>
      </c>
      <c r="C503" s="34">
        <v>115</v>
      </c>
      <c r="D503" s="52">
        <v>2.33</v>
      </c>
      <c r="E503" s="52">
        <v>4.01</v>
      </c>
      <c r="F503" s="52">
        <v>13.85</v>
      </c>
      <c r="G503" s="52">
        <v>108.87</v>
      </c>
      <c r="H503" s="52">
        <v>8.05</v>
      </c>
    </row>
    <row r="504" spans="1:8" ht="89.25" thickBot="1">
      <c r="A504" s="47">
        <v>9</v>
      </c>
      <c r="B504" s="26" t="s">
        <v>225</v>
      </c>
      <c r="C504" s="53" t="s">
        <v>27</v>
      </c>
      <c r="D504" s="52">
        <v>0.78</v>
      </c>
      <c r="E504" s="52">
        <v>0</v>
      </c>
      <c r="F504" s="52">
        <v>18.23</v>
      </c>
      <c r="G504" s="52">
        <v>75</v>
      </c>
      <c r="H504" s="52">
        <v>0.6</v>
      </c>
    </row>
    <row r="505" spans="1:8" ht="177.75" thickBot="1">
      <c r="A505" s="47" t="s">
        <v>32</v>
      </c>
      <c r="B505" s="24" t="s">
        <v>56</v>
      </c>
      <c r="C505" s="34">
        <v>20</v>
      </c>
      <c r="D505" s="52">
        <v>1.6</v>
      </c>
      <c r="E505" s="52">
        <v>0.2</v>
      </c>
      <c r="F505" s="52">
        <v>9.64</v>
      </c>
      <c r="G505" s="52">
        <v>47.2</v>
      </c>
      <c r="H505" s="52">
        <v>0</v>
      </c>
    </row>
    <row r="506" spans="1:8" ht="177.75" thickBot="1">
      <c r="A506" s="47" t="s">
        <v>32</v>
      </c>
      <c r="B506" s="24" t="s">
        <v>58</v>
      </c>
      <c r="C506" s="34">
        <v>40</v>
      </c>
      <c r="D506" s="52">
        <v>2.24</v>
      </c>
      <c r="E506" s="52">
        <v>0.48</v>
      </c>
      <c r="F506" s="52">
        <v>19.76</v>
      </c>
      <c r="G506" s="52">
        <v>92.8</v>
      </c>
      <c r="H506" s="52">
        <v>0</v>
      </c>
    </row>
    <row r="507" spans="1:8" ht="89.25" thickBot="1">
      <c r="A507" s="54"/>
      <c r="B507" s="26" t="s">
        <v>29</v>
      </c>
      <c r="C507" s="34">
        <f aca="true" t="shared" si="34" ref="C507:H507">C499+C500+C501+C502+C503+C504+C505+C506</f>
        <v>580</v>
      </c>
      <c r="D507" s="52">
        <f t="shared" si="34"/>
        <v>18.200000000000003</v>
      </c>
      <c r="E507" s="52">
        <f t="shared" si="34"/>
        <v>22.1</v>
      </c>
      <c r="F507" s="52">
        <f t="shared" si="34"/>
        <v>84.32000000000001</v>
      </c>
      <c r="G507" s="52">
        <f t="shared" si="34"/>
        <v>609.62</v>
      </c>
      <c r="H507" s="52">
        <f t="shared" si="34"/>
        <v>18.39</v>
      </c>
    </row>
    <row r="508" spans="1:8" ht="89.25" thickBot="1">
      <c r="A508" s="172" t="s">
        <v>145</v>
      </c>
      <c r="B508" s="173"/>
      <c r="C508" s="173"/>
      <c r="D508" s="173"/>
      <c r="E508" s="173"/>
      <c r="F508" s="173"/>
      <c r="G508" s="173"/>
      <c r="H508" s="174"/>
    </row>
    <row r="509" spans="1:8" ht="266.25" thickBot="1">
      <c r="A509" s="55">
        <v>21.1</v>
      </c>
      <c r="B509" s="56" t="s">
        <v>172</v>
      </c>
      <c r="C509" s="51" t="s">
        <v>27</v>
      </c>
      <c r="D509" s="48">
        <v>4.35</v>
      </c>
      <c r="E509" s="48">
        <v>4.8</v>
      </c>
      <c r="F509" s="48">
        <v>6</v>
      </c>
      <c r="G509" s="48">
        <v>88.5</v>
      </c>
      <c r="H509" s="48">
        <v>1.05</v>
      </c>
    </row>
    <row r="510" spans="1:8" ht="89.25" thickBot="1">
      <c r="A510" s="64">
        <v>78</v>
      </c>
      <c r="B510" s="65" t="s">
        <v>88</v>
      </c>
      <c r="C510" s="73" t="s">
        <v>34</v>
      </c>
      <c r="D510" s="67">
        <v>5.05</v>
      </c>
      <c r="E510" s="67">
        <v>3.18</v>
      </c>
      <c r="F510" s="67">
        <v>31.03</v>
      </c>
      <c r="G510" s="67">
        <v>187.71</v>
      </c>
      <c r="H510" s="67">
        <v>0.22</v>
      </c>
    </row>
    <row r="511" spans="1:8" ht="89.25" thickBot="1">
      <c r="A511" s="54"/>
      <c r="B511" s="24" t="s">
        <v>29</v>
      </c>
      <c r="C511" s="34">
        <f aca="true" t="shared" si="35" ref="C511:H511">C509+C510</f>
        <v>210</v>
      </c>
      <c r="D511" s="52">
        <f t="shared" si="35"/>
        <v>9.399999999999999</v>
      </c>
      <c r="E511" s="52">
        <f t="shared" si="35"/>
        <v>7.98</v>
      </c>
      <c r="F511" s="52">
        <f t="shared" si="35"/>
        <v>37.03</v>
      </c>
      <c r="G511" s="52">
        <f t="shared" si="35"/>
        <v>276.21000000000004</v>
      </c>
      <c r="H511" s="52">
        <f t="shared" si="35"/>
        <v>1.27</v>
      </c>
    </row>
    <row r="512" spans="1:8" ht="89.25" thickBot="1">
      <c r="A512" s="172" t="s">
        <v>144</v>
      </c>
      <c r="B512" s="173"/>
      <c r="C512" s="173"/>
      <c r="D512" s="173"/>
      <c r="E512" s="173"/>
      <c r="F512" s="173"/>
      <c r="G512" s="173"/>
      <c r="H512" s="174"/>
    </row>
    <row r="513" spans="1:8" ht="177.75" thickBot="1">
      <c r="A513" s="47">
        <v>67</v>
      </c>
      <c r="B513" s="24" t="s">
        <v>180</v>
      </c>
      <c r="C513" s="53" t="s">
        <v>25</v>
      </c>
      <c r="D513" s="52">
        <v>9.34</v>
      </c>
      <c r="E513" s="52">
        <v>4.04</v>
      </c>
      <c r="F513" s="52">
        <v>8.11</v>
      </c>
      <c r="G513" s="52">
        <v>117</v>
      </c>
      <c r="H513" s="52">
        <v>6</v>
      </c>
    </row>
    <row r="514" spans="1:8" ht="177.75" thickBot="1">
      <c r="A514" s="47" t="s">
        <v>32</v>
      </c>
      <c r="B514" s="24" t="s">
        <v>56</v>
      </c>
      <c r="C514" s="34">
        <v>15</v>
      </c>
      <c r="D514" s="52">
        <v>1.2</v>
      </c>
      <c r="E514" s="52">
        <v>0.15</v>
      </c>
      <c r="F514" s="52">
        <v>7.23</v>
      </c>
      <c r="G514" s="52">
        <v>35.4</v>
      </c>
      <c r="H514" s="52">
        <v>0</v>
      </c>
    </row>
    <row r="515" spans="1:8" ht="89.25" thickBot="1">
      <c r="A515" s="54">
        <v>76</v>
      </c>
      <c r="B515" s="50" t="s">
        <v>171</v>
      </c>
      <c r="C515" s="34">
        <v>180</v>
      </c>
      <c r="D515" s="52">
        <v>2.02</v>
      </c>
      <c r="E515" s="52">
        <v>2.3</v>
      </c>
      <c r="F515" s="52">
        <v>11.36</v>
      </c>
      <c r="G515" s="52">
        <v>74</v>
      </c>
      <c r="H515" s="52">
        <v>0.94</v>
      </c>
    </row>
    <row r="516" spans="1:8" ht="177.75" thickBot="1">
      <c r="A516" s="47">
        <v>69</v>
      </c>
      <c r="B516" s="24" t="s">
        <v>106</v>
      </c>
      <c r="C516" s="51" t="s">
        <v>253</v>
      </c>
      <c r="D516" s="52">
        <v>0.34</v>
      </c>
      <c r="E516" s="52">
        <v>0.34</v>
      </c>
      <c r="F516" s="52">
        <v>8.33</v>
      </c>
      <c r="G516" s="52">
        <v>39.95</v>
      </c>
      <c r="H516" s="52">
        <v>8.5</v>
      </c>
    </row>
    <row r="517" spans="1:8" ht="89.25" thickBot="1">
      <c r="A517" s="47"/>
      <c r="B517" s="24" t="s">
        <v>29</v>
      </c>
      <c r="C517" s="34">
        <f aca="true" t="shared" si="36" ref="C517:H517">C513+C514+C515+C516</f>
        <v>480</v>
      </c>
      <c r="D517" s="52">
        <f t="shared" si="36"/>
        <v>12.899999999999999</v>
      </c>
      <c r="E517" s="52">
        <f t="shared" si="36"/>
        <v>6.83</v>
      </c>
      <c r="F517" s="52">
        <f t="shared" si="36"/>
        <v>35.03</v>
      </c>
      <c r="G517" s="52">
        <f t="shared" si="36"/>
        <v>266.35</v>
      </c>
      <c r="H517" s="52">
        <f t="shared" si="36"/>
        <v>15.44</v>
      </c>
    </row>
    <row r="518" spans="1:12" s="46" customFormat="1" ht="89.25" thickBot="1">
      <c r="A518" s="47"/>
      <c r="B518" s="24"/>
      <c r="C518" s="51"/>
      <c r="D518" s="40" t="s">
        <v>0</v>
      </c>
      <c r="E518" s="41" t="s">
        <v>1</v>
      </c>
      <c r="F518" s="41" t="s">
        <v>2</v>
      </c>
      <c r="G518" s="149" t="s">
        <v>3</v>
      </c>
      <c r="H518" s="41" t="s">
        <v>4</v>
      </c>
      <c r="I518" s="38"/>
      <c r="J518" s="38"/>
      <c r="K518" s="38"/>
      <c r="L518" s="38"/>
    </row>
    <row r="519" spans="1:8" ht="89.25" thickBot="1">
      <c r="A519" s="47"/>
      <c r="B519" s="58" t="s">
        <v>10</v>
      </c>
      <c r="C519" s="51"/>
      <c r="D519" s="52">
        <f>D494+D497+D507+D511+D517</f>
        <v>52.07</v>
      </c>
      <c r="E519" s="52">
        <f>E494+E497+E507+E511+E517</f>
        <v>51.489999999999995</v>
      </c>
      <c r="F519" s="52">
        <f>F494+F497+F507+F511+F517</f>
        <v>210.34</v>
      </c>
      <c r="G519" s="52">
        <f>G494+G497+G507+G511+G517</f>
        <v>1544.1799999999998</v>
      </c>
      <c r="H519" s="52">
        <f>H494+H497+H507+H511+H517</f>
        <v>39.8</v>
      </c>
    </row>
    <row r="520" spans="1:8" ht="176.25" thickBot="1">
      <c r="A520" s="47"/>
      <c r="B520" s="58" t="s">
        <v>11</v>
      </c>
      <c r="C520" s="51"/>
      <c r="D520" s="52">
        <v>42</v>
      </c>
      <c r="E520" s="52">
        <v>47</v>
      </c>
      <c r="F520" s="52">
        <v>203</v>
      </c>
      <c r="G520" s="52">
        <v>1400</v>
      </c>
      <c r="H520" s="52">
        <v>45</v>
      </c>
    </row>
    <row r="521" spans="1:8" ht="350.25" thickBot="1">
      <c r="A521" s="42"/>
      <c r="B521" s="59" t="s">
        <v>12</v>
      </c>
      <c r="C521" s="41"/>
      <c r="D521" s="60">
        <f>D519*100/D520</f>
        <v>123.97619047619048</v>
      </c>
      <c r="E521" s="60">
        <f>E519*100/E520</f>
        <v>109.55319148936168</v>
      </c>
      <c r="F521" s="60">
        <f>F519*100/F520</f>
        <v>103.61576354679804</v>
      </c>
      <c r="G521" s="60">
        <f>G519*100/G520</f>
        <v>110.2985714285714</v>
      </c>
      <c r="H521" s="60">
        <f>H519*100/H520</f>
        <v>88.44444444444443</v>
      </c>
    </row>
    <row r="522" spans="1:8" ht="88.5">
      <c r="A522" s="61"/>
      <c r="B522" s="147"/>
      <c r="C522" s="146"/>
      <c r="D522" s="62"/>
      <c r="E522" s="62"/>
      <c r="F522" s="62"/>
      <c r="G522" s="62"/>
      <c r="H522" s="62"/>
    </row>
    <row r="523" spans="1:8" ht="88.5">
      <c r="A523" s="61"/>
      <c r="B523" s="38" t="s">
        <v>68</v>
      </c>
      <c r="C523" s="38"/>
      <c r="E523" s="62"/>
      <c r="F523" s="62"/>
      <c r="G523" s="62"/>
      <c r="H523" s="62"/>
    </row>
    <row r="524" spans="1:2" ht="102">
      <c r="A524" s="61"/>
      <c r="B524" s="38" t="s">
        <v>271</v>
      </c>
    </row>
    <row r="525" spans="1:2" ht="88.5">
      <c r="A525" s="61"/>
      <c r="B525" s="38" t="s">
        <v>67</v>
      </c>
    </row>
    <row r="526" spans="1:2" ht="88.5">
      <c r="A526" s="61"/>
      <c r="B526" s="38" t="s">
        <v>149</v>
      </c>
    </row>
    <row r="527" spans="1:8" ht="88.5">
      <c r="A527" s="175" t="s">
        <v>193</v>
      </c>
      <c r="B527" s="175"/>
      <c r="C527" s="175"/>
      <c r="D527" s="175"/>
      <c r="E527" s="175"/>
      <c r="F527" s="175"/>
      <c r="G527" s="175"/>
      <c r="H527" s="175"/>
    </row>
    <row r="528" spans="1:8" ht="88.5">
      <c r="A528" s="175" t="s">
        <v>48</v>
      </c>
      <c r="B528" s="175"/>
      <c r="C528" s="175"/>
      <c r="D528" s="175"/>
      <c r="E528" s="175"/>
      <c r="F528" s="175"/>
      <c r="G528" s="175"/>
      <c r="H528" s="175"/>
    </row>
    <row r="529" spans="1:8" ht="88.5">
      <c r="A529" s="176" t="s">
        <v>64</v>
      </c>
      <c r="B529" s="176"/>
      <c r="C529" s="176"/>
      <c r="D529" s="176"/>
      <c r="E529" s="176"/>
      <c r="F529" s="176"/>
      <c r="G529" s="176"/>
      <c r="H529" s="176"/>
    </row>
    <row r="530" spans="1:8" ht="89.25" thickBot="1">
      <c r="A530" s="177"/>
      <c r="B530" s="177"/>
      <c r="C530" s="177"/>
      <c r="D530" s="177"/>
      <c r="E530" s="177"/>
      <c r="F530" s="177"/>
      <c r="G530" s="177"/>
      <c r="H530" s="177"/>
    </row>
    <row r="531" spans="1:8" ht="89.25" thickBot="1">
      <c r="A531" s="178" t="s">
        <v>30</v>
      </c>
      <c r="B531" s="180" t="s">
        <v>50</v>
      </c>
      <c r="C531" s="183" t="s">
        <v>111</v>
      </c>
      <c r="D531" s="172" t="s">
        <v>24</v>
      </c>
      <c r="E531" s="173"/>
      <c r="F531" s="174"/>
      <c r="G531" s="180" t="s">
        <v>51</v>
      </c>
      <c r="H531" s="180" t="s">
        <v>112</v>
      </c>
    </row>
    <row r="532" spans="1:8" ht="89.25" thickBot="1">
      <c r="A532" s="179"/>
      <c r="B532" s="181"/>
      <c r="C532" s="184"/>
      <c r="D532" s="40" t="s">
        <v>0</v>
      </c>
      <c r="E532" s="41" t="s">
        <v>1</v>
      </c>
      <c r="F532" s="41" t="s">
        <v>2</v>
      </c>
      <c r="G532" s="181"/>
      <c r="H532" s="181"/>
    </row>
    <row r="533" spans="1:8" ht="89.25" thickBot="1">
      <c r="A533" s="148">
        <v>1</v>
      </c>
      <c r="B533" s="43">
        <v>2</v>
      </c>
      <c r="C533" s="44">
        <v>3</v>
      </c>
      <c r="D533" s="63">
        <v>4</v>
      </c>
      <c r="E533" s="43">
        <v>5</v>
      </c>
      <c r="F533" s="43">
        <v>6</v>
      </c>
      <c r="G533" s="43">
        <v>7</v>
      </c>
      <c r="H533" s="43">
        <v>8</v>
      </c>
    </row>
    <row r="534" spans="1:8" ht="89.25" thickBot="1">
      <c r="A534" s="172" t="s">
        <v>5</v>
      </c>
      <c r="B534" s="173"/>
      <c r="C534" s="173"/>
      <c r="D534" s="173"/>
      <c r="E534" s="173"/>
      <c r="F534" s="173"/>
      <c r="G534" s="173"/>
      <c r="H534" s="174"/>
    </row>
    <row r="535" spans="1:8" ht="89.25" thickBot="1">
      <c r="A535" s="47">
        <v>14</v>
      </c>
      <c r="B535" s="26" t="s">
        <v>176</v>
      </c>
      <c r="C535" s="34">
        <v>150</v>
      </c>
      <c r="D535" s="52">
        <v>5.32</v>
      </c>
      <c r="E535" s="52">
        <v>5.58</v>
      </c>
      <c r="F535" s="52">
        <v>25.12</v>
      </c>
      <c r="G535" s="60">
        <v>170</v>
      </c>
      <c r="H535" s="60">
        <v>1.47</v>
      </c>
    </row>
    <row r="536" spans="1:8" ht="89.25" thickBot="1">
      <c r="A536" s="54">
        <v>15</v>
      </c>
      <c r="B536" s="50" t="s">
        <v>224</v>
      </c>
      <c r="C536" s="34">
        <v>180</v>
      </c>
      <c r="D536" s="52">
        <v>2.79</v>
      </c>
      <c r="E536" s="52">
        <v>3.04</v>
      </c>
      <c r="F536" s="52">
        <v>12.32</v>
      </c>
      <c r="G536" s="52">
        <v>87</v>
      </c>
      <c r="H536" s="52">
        <v>1.17</v>
      </c>
    </row>
    <row r="537" spans="1:8" ht="89.25" thickBot="1">
      <c r="A537" s="47">
        <v>16</v>
      </c>
      <c r="B537" s="24" t="s">
        <v>36</v>
      </c>
      <c r="C537" s="53" t="s">
        <v>240</v>
      </c>
      <c r="D537" s="52">
        <v>1.56</v>
      </c>
      <c r="E537" s="52">
        <v>3.73</v>
      </c>
      <c r="F537" s="52">
        <v>9.9</v>
      </c>
      <c r="G537" s="52">
        <v>79</v>
      </c>
      <c r="H537" s="52">
        <v>0</v>
      </c>
    </row>
    <row r="538" spans="1:9" ht="89.25" thickBot="1">
      <c r="A538" s="47"/>
      <c r="B538" s="24" t="s">
        <v>6</v>
      </c>
      <c r="C538" s="34">
        <f>C535+C536++C537</f>
        <v>355</v>
      </c>
      <c r="D538" s="52">
        <f>SUM(D535:D537)</f>
        <v>9.67</v>
      </c>
      <c r="E538" s="52">
        <f>SUM(E535:E537)</f>
        <v>12.350000000000001</v>
      </c>
      <c r="F538" s="52">
        <f>SUM(F535:F537)</f>
        <v>47.339999999999996</v>
      </c>
      <c r="G538" s="52">
        <f>SUM(G535:G537)</f>
        <v>336</v>
      </c>
      <c r="H538" s="52">
        <f>SUM(H535:H537)</f>
        <v>2.6399999999999997</v>
      </c>
      <c r="I538" s="52"/>
    </row>
    <row r="539" spans="1:8" ht="89.25" thickBot="1">
      <c r="A539" s="172" t="s">
        <v>53</v>
      </c>
      <c r="B539" s="173"/>
      <c r="C539" s="173"/>
      <c r="D539" s="173"/>
      <c r="E539" s="173"/>
      <c r="F539" s="173"/>
      <c r="G539" s="173"/>
      <c r="H539" s="174"/>
    </row>
    <row r="540" spans="1:8" ht="89.25" thickBot="1">
      <c r="A540" s="47" t="s">
        <v>32</v>
      </c>
      <c r="B540" s="24" t="s">
        <v>182</v>
      </c>
      <c r="C540" s="53" t="s">
        <v>26</v>
      </c>
      <c r="D540" s="52">
        <v>0.2</v>
      </c>
      <c r="E540" s="52">
        <v>0.11</v>
      </c>
      <c r="F540" s="52">
        <v>10.11</v>
      </c>
      <c r="G540" s="52">
        <v>46</v>
      </c>
      <c r="H540" s="52">
        <v>2</v>
      </c>
    </row>
    <row r="541" spans="1:8" ht="89.25" thickBot="1">
      <c r="A541" s="47"/>
      <c r="B541" s="24" t="s">
        <v>6</v>
      </c>
      <c r="C541" s="51" t="s">
        <v>26</v>
      </c>
      <c r="D541" s="52">
        <f>SUM(D540)</f>
        <v>0.2</v>
      </c>
      <c r="E541" s="52">
        <f>SUM(E540)</f>
        <v>0.11</v>
      </c>
      <c r="F541" s="52">
        <f>SUM(F540)</f>
        <v>10.11</v>
      </c>
      <c r="G541" s="52">
        <f>SUM(G540)</f>
        <v>46</v>
      </c>
      <c r="H541" s="52">
        <f>SUM(H540)</f>
        <v>2</v>
      </c>
    </row>
    <row r="542" spans="1:8" ht="89.25" thickBot="1">
      <c r="A542" s="185" t="s">
        <v>31</v>
      </c>
      <c r="B542" s="186"/>
      <c r="C542" s="186"/>
      <c r="D542" s="186"/>
      <c r="E542" s="186"/>
      <c r="F542" s="186"/>
      <c r="G542" s="186"/>
      <c r="H542" s="187"/>
    </row>
    <row r="543" spans="1:8" ht="177.75" thickBot="1">
      <c r="A543" s="54">
        <v>12</v>
      </c>
      <c r="B543" s="24" t="s">
        <v>227</v>
      </c>
      <c r="C543" s="34">
        <v>30</v>
      </c>
      <c r="D543" s="52">
        <v>0.47</v>
      </c>
      <c r="E543" s="52">
        <v>3</v>
      </c>
      <c r="F543" s="52">
        <v>3.1</v>
      </c>
      <c r="G543" s="52">
        <v>43.34</v>
      </c>
      <c r="H543" s="52">
        <v>1.34</v>
      </c>
    </row>
    <row r="544" spans="1:8" ht="177.75" thickBot="1">
      <c r="A544" s="47">
        <v>30</v>
      </c>
      <c r="B544" s="24" t="s">
        <v>237</v>
      </c>
      <c r="C544" s="53" t="s">
        <v>27</v>
      </c>
      <c r="D544" s="52">
        <v>5.42</v>
      </c>
      <c r="E544" s="52">
        <v>3.58</v>
      </c>
      <c r="F544" s="52">
        <v>8.81</v>
      </c>
      <c r="G544" s="52">
        <v>89.25</v>
      </c>
      <c r="H544" s="52">
        <v>0.41</v>
      </c>
    </row>
    <row r="545" spans="1:8" ht="89.25" thickBot="1">
      <c r="A545" s="47">
        <v>4</v>
      </c>
      <c r="B545" s="24" t="s">
        <v>215</v>
      </c>
      <c r="C545" s="51" t="s">
        <v>27</v>
      </c>
      <c r="D545" s="52">
        <v>7.4</v>
      </c>
      <c r="E545" s="52">
        <v>9.81</v>
      </c>
      <c r="F545" s="52">
        <v>17.61</v>
      </c>
      <c r="G545" s="52">
        <v>196</v>
      </c>
      <c r="H545" s="52">
        <v>10.32</v>
      </c>
    </row>
    <row r="546" spans="1:8" ht="354.75" thickBot="1">
      <c r="A546" s="47">
        <v>20</v>
      </c>
      <c r="B546" s="24" t="s">
        <v>232</v>
      </c>
      <c r="C546" s="53" t="s">
        <v>241</v>
      </c>
      <c r="D546" s="52">
        <v>0</v>
      </c>
      <c r="E546" s="52">
        <v>0</v>
      </c>
      <c r="F546" s="52">
        <v>22.71</v>
      </c>
      <c r="G546" s="52">
        <v>87.5</v>
      </c>
      <c r="H546" s="52">
        <v>0</v>
      </c>
    </row>
    <row r="547" spans="1:8" ht="177.75" thickBot="1">
      <c r="A547" s="47" t="s">
        <v>32</v>
      </c>
      <c r="B547" s="24" t="s">
        <v>56</v>
      </c>
      <c r="C547" s="34">
        <v>20</v>
      </c>
      <c r="D547" s="52">
        <v>1.6</v>
      </c>
      <c r="E547" s="52">
        <v>0.2</v>
      </c>
      <c r="F547" s="52">
        <v>9.64</v>
      </c>
      <c r="G547" s="52">
        <v>47.2</v>
      </c>
      <c r="H547" s="52">
        <v>0</v>
      </c>
    </row>
    <row r="548" spans="1:8" ht="177.75" thickBot="1">
      <c r="A548" s="47" t="s">
        <v>32</v>
      </c>
      <c r="B548" s="24" t="s">
        <v>58</v>
      </c>
      <c r="C548" s="34">
        <v>40</v>
      </c>
      <c r="D548" s="52">
        <v>2.24</v>
      </c>
      <c r="E548" s="52">
        <v>0.48</v>
      </c>
      <c r="F548" s="52">
        <v>19.76</v>
      </c>
      <c r="G548" s="52">
        <v>92.8</v>
      </c>
      <c r="H548" s="52">
        <v>0</v>
      </c>
    </row>
    <row r="549" spans="1:8" ht="89.25" thickBot="1">
      <c r="A549" s="47"/>
      <c r="B549" s="24" t="s">
        <v>6</v>
      </c>
      <c r="C549" s="34">
        <f aca="true" t="shared" si="37" ref="C549:H549">C543+C544+C545+C546+C547+C548</f>
        <v>530</v>
      </c>
      <c r="D549" s="52">
        <f t="shared" si="37"/>
        <v>17.13</v>
      </c>
      <c r="E549" s="52">
        <f t="shared" si="37"/>
        <v>17.07</v>
      </c>
      <c r="F549" s="52">
        <f t="shared" si="37"/>
        <v>81.63000000000001</v>
      </c>
      <c r="G549" s="52">
        <f t="shared" si="37"/>
        <v>556.09</v>
      </c>
      <c r="H549" s="52">
        <f t="shared" si="37"/>
        <v>12.07</v>
      </c>
    </row>
    <row r="550" spans="1:8" ht="89.25" thickBot="1">
      <c r="A550" s="172" t="s">
        <v>145</v>
      </c>
      <c r="B550" s="173"/>
      <c r="C550" s="173"/>
      <c r="D550" s="173"/>
      <c r="E550" s="173"/>
      <c r="F550" s="173"/>
      <c r="G550" s="173"/>
      <c r="H550" s="174"/>
    </row>
    <row r="551" spans="1:8" ht="266.25" thickBot="1">
      <c r="A551" s="55">
        <v>21.1</v>
      </c>
      <c r="B551" s="56" t="s">
        <v>172</v>
      </c>
      <c r="C551" s="51" t="s">
        <v>27</v>
      </c>
      <c r="D551" s="48">
        <v>4.35</v>
      </c>
      <c r="E551" s="48">
        <v>4.8</v>
      </c>
      <c r="F551" s="48">
        <v>6</v>
      </c>
      <c r="G551" s="48">
        <v>88.5</v>
      </c>
      <c r="H551" s="48">
        <v>1.05</v>
      </c>
    </row>
    <row r="552" spans="1:8" ht="266.25" thickBot="1">
      <c r="A552" s="47">
        <v>24</v>
      </c>
      <c r="B552" s="24" t="s">
        <v>104</v>
      </c>
      <c r="C552" s="51" t="s">
        <v>155</v>
      </c>
      <c r="D552" s="52">
        <v>0.9</v>
      </c>
      <c r="E552" s="52">
        <v>1.17</v>
      </c>
      <c r="F552" s="52">
        <v>21</v>
      </c>
      <c r="G552" s="52">
        <v>86.33</v>
      </c>
      <c r="H552" s="52">
        <v>0</v>
      </c>
    </row>
    <row r="553" spans="1:8" ht="89.25" thickBot="1">
      <c r="A553" s="54"/>
      <c r="B553" s="24" t="s">
        <v>29</v>
      </c>
      <c r="C553" s="34">
        <f aca="true" t="shared" si="38" ref="C553:H553">C551+C552</f>
        <v>180</v>
      </c>
      <c r="D553" s="52">
        <f t="shared" si="38"/>
        <v>5.25</v>
      </c>
      <c r="E553" s="52">
        <f t="shared" si="38"/>
        <v>5.97</v>
      </c>
      <c r="F553" s="52">
        <f t="shared" si="38"/>
        <v>27</v>
      </c>
      <c r="G553" s="52">
        <f t="shared" si="38"/>
        <v>174.82999999999998</v>
      </c>
      <c r="H553" s="52">
        <f t="shared" si="38"/>
        <v>1.05</v>
      </c>
    </row>
    <row r="554" spans="1:8" ht="89.25" thickBot="1">
      <c r="A554" s="185" t="s">
        <v>144</v>
      </c>
      <c r="B554" s="186"/>
      <c r="C554" s="186"/>
      <c r="D554" s="186"/>
      <c r="E554" s="186"/>
      <c r="F554" s="186"/>
      <c r="G554" s="186"/>
      <c r="H554" s="187"/>
    </row>
    <row r="555" spans="1:12" ht="177.75" thickBot="1">
      <c r="A555" s="64">
        <v>49</v>
      </c>
      <c r="B555" s="65" t="s">
        <v>166</v>
      </c>
      <c r="C555" s="51" t="s">
        <v>246</v>
      </c>
      <c r="D555" s="67">
        <v>26.67</v>
      </c>
      <c r="E555" s="67">
        <v>17.49</v>
      </c>
      <c r="F555" s="67">
        <v>33.68</v>
      </c>
      <c r="G555" s="67">
        <v>414</v>
      </c>
      <c r="H555" s="67">
        <v>0.44</v>
      </c>
      <c r="J555" s="46"/>
      <c r="K555" s="46"/>
      <c r="L555" s="46"/>
    </row>
    <row r="556" spans="1:8" ht="89.25" thickBot="1">
      <c r="A556" s="54">
        <v>13</v>
      </c>
      <c r="B556" s="50" t="s">
        <v>7</v>
      </c>
      <c r="C556" s="34">
        <v>180</v>
      </c>
      <c r="D556" s="52">
        <v>0</v>
      </c>
      <c r="E556" s="52">
        <v>0</v>
      </c>
      <c r="F556" s="52">
        <v>10.78</v>
      </c>
      <c r="G556" s="52">
        <v>36</v>
      </c>
      <c r="H556" s="52">
        <v>0</v>
      </c>
    </row>
    <row r="557" spans="1:8" ht="177.75" thickBot="1">
      <c r="A557" s="47">
        <v>69</v>
      </c>
      <c r="B557" s="24" t="s">
        <v>106</v>
      </c>
      <c r="C557" s="51" t="s">
        <v>253</v>
      </c>
      <c r="D557" s="52">
        <v>0.34</v>
      </c>
      <c r="E557" s="52">
        <v>0.34</v>
      </c>
      <c r="F557" s="52">
        <v>8.33</v>
      </c>
      <c r="G557" s="52">
        <v>39.95</v>
      </c>
      <c r="H557" s="52">
        <v>8.5</v>
      </c>
    </row>
    <row r="558" spans="1:8" ht="89.25" thickBot="1">
      <c r="A558" s="47"/>
      <c r="B558" s="24" t="s">
        <v>6</v>
      </c>
      <c r="C558" s="34">
        <f aca="true" t="shared" si="39" ref="C558:H558">C555+C556+C557</f>
        <v>440</v>
      </c>
      <c r="D558" s="52">
        <f t="shared" si="39"/>
        <v>27.01</v>
      </c>
      <c r="E558" s="52">
        <f t="shared" si="39"/>
        <v>17.83</v>
      </c>
      <c r="F558" s="52">
        <f t="shared" si="39"/>
        <v>52.79</v>
      </c>
      <c r="G558" s="52">
        <f t="shared" si="39"/>
        <v>489.95</v>
      </c>
      <c r="H558" s="52">
        <f t="shared" si="39"/>
        <v>8.94</v>
      </c>
    </row>
    <row r="559" spans="1:8" ht="89.25" thickBot="1">
      <c r="A559" s="47"/>
      <c r="B559" s="24"/>
      <c r="C559" s="51"/>
      <c r="D559" s="40" t="s">
        <v>0</v>
      </c>
      <c r="E559" s="41" t="s">
        <v>1</v>
      </c>
      <c r="F559" s="41" t="s">
        <v>2</v>
      </c>
      <c r="G559" s="149" t="s">
        <v>3</v>
      </c>
      <c r="H559" s="41" t="s">
        <v>4</v>
      </c>
    </row>
    <row r="560" spans="1:8" ht="89.25" thickBot="1">
      <c r="A560" s="47"/>
      <c r="B560" s="58" t="s">
        <v>10</v>
      </c>
      <c r="C560" s="51"/>
      <c r="D560" s="52">
        <f>D538+D541+D549+D553+D558</f>
        <v>59.260000000000005</v>
      </c>
      <c r="E560" s="52">
        <f>E538+E541+E549+E553+E558</f>
        <v>53.33</v>
      </c>
      <c r="F560" s="52">
        <f>F538+F541+F549+F553+F558</f>
        <v>218.87</v>
      </c>
      <c r="G560" s="52">
        <f>G538+G541+G549+G553+G558</f>
        <v>1602.8700000000001</v>
      </c>
      <c r="H560" s="52">
        <f>H538+H541+H549+H553+H558</f>
        <v>26.700000000000003</v>
      </c>
    </row>
    <row r="561" spans="1:8" ht="176.25" thickBot="1">
      <c r="A561" s="47"/>
      <c r="B561" s="58" t="s">
        <v>11</v>
      </c>
      <c r="C561" s="51"/>
      <c r="D561" s="52">
        <v>42</v>
      </c>
      <c r="E561" s="52">
        <v>47</v>
      </c>
      <c r="F561" s="52">
        <v>203</v>
      </c>
      <c r="G561" s="52">
        <v>1400</v>
      </c>
      <c r="H561" s="52">
        <v>45</v>
      </c>
    </row>
    <row r="562" spans="1:8" ht="350.25" thickBot="1">
      <c r="A562" s="42"/>
      <c r="B562" s="59" t="s">
        <v>12</v>
      </c>
      <c r="C562" s="41"/>
      <c r="D562" s="60">
        <f>D560*100/D561</f>
        <v>141.09523809523813</v>
      </c>
      <c r="E562" s="60">
        <f>E560*100/E561</f>
        <v>113.46808510638297</v>
      </c>
      <c r="F562" s="60">
        <f>F560*100/F561</f>
        <v>107.81773399014779</v>
      </c>
      <c r="G562" s="60">
        <f>G560*100/G561</f>
        <v>114.49071428571429</v>
      </c>
      <c r="H562" s="60">
        <f>H560*100/H561</f>
        <v>59.33333333333334</v>
      </c>
    </row>
    <row r="563" spans="1:8" ht="88.5">
      <c r="A563" s="61"/>
      <c r="B563" s="147"/>
      <c r="C563" s="146"/>
      <c r="D563" s="62"/>
      <c r="E563" s="62"/>
      <c r="F563" s="62"/>
      <c r="G563" s="62"/>
      <c r="H563" s="62"/>
    </row>
    <row r="564" spans="1:8" ht="88.5">
      <c r="A564" s="61"/>
      <c r="B564" s="38" t="s">
        <v>68</v>
      </c>
      <c r="C564" s="38"/>
      <c r="E564" s="62"/>
      <c r="F564" s="62"/>
      <c r="G564" s="62"/>
      <c r="H564" s="62"/>
    </row>
    <row r="565" spans="1:2" ht="102">
      <c r="A565" s="61"/>
      <c r="B565" s="38" t="s">
        <v>271</v>
      </c>
    </row>
    <row r="566" spans="1:2" ht="88.5">
      <c r="A566" s="61"/>
      <c r="B566" s="38" t="s">
        <v>67</v>
      </c>
    </row>
    <row r="567" spans="1:2" ht="88.5">
      <c r="A567" s="61"/>
      <c r="B567" s="38" t="s">
        <v>149</v>
      </c>
    </row>
    <row r="569" spans="1:8" ht="88.5">
      <c r="A569" s="175" t="s">
        <v>197</v>
      </c>
      <c r="B569" s="175"/>
      <c r="C569" s="175"/>
      <c r="D569" s="175"/>
      <c r="E569" s="175"/>
      <c r="F569" s="175"/>
      <c r="G569" s="175"/>
      <c r="H569" s="175"/>
    </row>
    <row r="570" spans="1:8" ht="88.5">
      <c r="A570" s="175" t="s">
        <v>48</v>
      </c>
      <c r="B570" s="175"/>
      <c r="C570" s="175"/>
      <c r="D570" s="175"/>
      <c r="E570" s="175"/>
      <c r="F570" s="175"/>
      <c r="G570" s="175"/>
      <c r="H570" s="175"/>
    </row>
    <row r="571" spans="1:8" ht="88.5">
      <c r="A571" s="176" t="s">
        <v>64</v>
      </c>
      <c r="B571" s="176"/>
      <c r="C571" s="176"/>
      <c r="D571" s="176"/>
      <c r="E571" s="176"/>
      <c r="F571" s="176"/>
      <c r="G571" s="176"/>
      <c r="H571" s="176"/>
    </row>
    <row r="572" spans="1:8" ht="89.25" thickBot="1">
      <c r="A572" s="177"/>
      <c r="B572" s="177"/>
      <c r="C572" s="177"/>
      <c r="D572" s="177"/>
      <c r="E572" s="177"/>
      <c r="F572" s="177"/>
      <c r="G572" s="177"/>
      <c r="H572" s="177"/>
    </row>
    <row r="573" spans="1:8" ht="89.25" thickBot="1">
      <c r="A573" s="178" t="s">
        <v>30</v>
      </c>
      <c r="B573" s="180" t="s">
        <v>50</v>
      </c>
      <c r="C573" s="183" t="s">
        <v>111</v>
      </c>
      <c r="D573" s="172" t="s">
        <v>24</v>
      </c>
      <c r="E573" s="173"/>
      <c r="F573" s="174"/>
      <c r="G573" s="180" t="s">
        <v>51</v>
      </c>
      <c r="H573" s="180" t="s">
        <v>112</v>
      </c>
    </row>
    <row r="574" spans="1:8" ht="89.25" thickBot="1">
      <c r="A574" s="179"/>
      <c r="B574" s="181"/>
      <c r="C574" s="184"/>
      <c r="D574" s="40" t="s">
        <v>0</v>
      </c>
      <c r="E574" s="41" t="s">
        <v>1</v>
      </c>
      <c r="F574" s="41" t="s">
        <v>2</v>
      </c>
      <c r="G574" s="181"/>
      <c r="H574" s="181"/>
    </row>
    <row r="575" spans="1:8" ht="89.25" thickBot="1">
      <c r="A575" s="148">
        <v>1</v>
      </c>
      <c r="B575" s="43">
        <v>2</v>
      </c>
      <c r="C575" s="44">
        <v>3</v>
      </c>
      <c r="D575" s="63">
        <v>4</v>
      </c>
      <c r="E575" s="43">
        <v>5</v>
      </c>
      <c r="F575" s="43">
        <v>6</v>
      </c>
      <c r="G575" s="43">
        <v>7</v>
      </c>
      <c r="H575" s="43">
        <v>8</v>
      </c>
    </row>
    <row r="576" spans="1:8" ht="89.25" thickBot="1">
      <c r="A576" s="172" t="s">
        <v>5</v>
      </c>
      <c r="B576" s="173"/>
      <c r="C576" s="173"/>
      <c r="D576" s="173"/>
      <c r="E576" s="173"/>
      <c r="F576" s="173"/>
      <c r="G576" s="173"/>
      <c r="H576" s="174"/>
    </row>
    <row r="577" spans="1:8" ht="177.75" thickBot="1">
      <c r="A577" s="47">
        <v>1</v>
      </c>
      <c r="B577" s="26" t="s">
        <v>42</v>
      </c>
      <c r="C577" s="34">
        <v>150</v>
      </c>
      <c r="D577" s="52">
        <v>4.35</v>
      </c>
      <c r="E577" s="52">
        <v>5.54</v>
      </c>
      <c r="F577" s="52">
        <v>16.62</v>
      </c>
      <c r="G577" s="60">
        <v>134.17</v>
      </c>
      <c r="H577" s="60">
        <v>0.88</v>
      </c>
    </row>
    <row r="578" spans="1:8" ht="177.75" thickBot="1">
      <c r="A578" s="47">
        <v>2</v>
      </c>
      <c r="B578" s="24" t="s">
        <v>69</v>
      </c>
      <c r="C578" s="34">
        <v>180</v>
      </c>
      <c r="D578" s="48">
        <v>2.92</v>
      </c>
      <c r="E578" s="48">
        <v>3.08</v>
      </c>
      <c r="F578" s="48">
        <v>12.41</v>
      </c>
      <c r="G578" s="48">
        <v>86</v>
      </c>
      <c r="H578" s="48">
        <v>1.17</v>
      </c>
    </row>
    <row r="579" spans="1:8" ht="89.25" thickBot="1">
      <c r="A579" s="47">
        <v>16</v>
      </c>
      <c r="B579" s="24" t="s">
        <v>36</v>
      </c>
      <c r="C579" s="53" t="s">
        <v>240</v>
      </c>
      <c r="D579" s="52">
        <v>1.56</v>
      </c>
      <c r="E579" s="52">
        <v>3.73</v>
      </c>
      <c r="F579" s="52">
        <v>9.9</v>
      </c>
      <c r="G579" s="52">
        <v>79</v>
      </c>
      <c r="H579" s="52">
        <v>0</v>
      </c>
    </row>
    <row r="580" spans="1:12" s="46" customFormat="1" ht="89.25" thickBot="1">
      <c r="A580" s="47"/>
      <c r="B580" s="24" t="s">
        <v>6</v>
      </c>
      <c r="C580" s="34">
        <f>C577+C578+C579</f>
        <v>355</v>
      </c>
      <c r="D580" s="52">
        <f>SUM(D577:D579)</f>
        <v>8.83</v>
      </c>
      <c r="E580" s="52">
        <f>SUM(E577:E579)</f>
        <v>12.350000000000001</v>
      </c>
      <c r="F580" s="52">
        <f>SUM(F577:F579)</f>
        <v>38.93</v>
      </c>
      <c r="G580" s="52">
        <f>SUM(G577:G579)</f>
        <v>299.16999999999996</v>
      </c>
      <c r="H580" s="52">
        <f>SUM(H577:H579)</f>
        <v>2.05</v>
      </c>
      <c r="I580" s="38"/>
      <c r="J580" s="38"/>
      <c r="K580" s="38"/>
      <c r="L580" s="38"/>
    </row>
    <row r="581" spans="1:8" ht="89.25" thickBot="1">
      <c r="A581" s="172" t="s">
        <v>53</v>
      </c>
      <c r="B581" s="173"/>
      <c r="C581" s="173"/>
      <c r="D581" s="173"/>
      <c r="E581" s="173"/>
      <c r="F581" s="173"/>
      <c r="G581" s="173"/>
      <c r="H581" s="174"/>
    </row>
    <row r="582" spans="1:8" ht="89.25" thickBot="1">
      <c r="A582" s="47" t="s">
        <v>32</v>
      </c>
      <c r="B582" s="24" t="s">
        <v>182</v>
      </c>
      <c r="C582" s="53" t="s">
        <v>26</v>
      </c>
      <c r="D582" s="52">
        <v>0.2</v>
      </c>
      <c r="E582" s="52">
        <v>0.11</v>
      </c>
      <c r="F582" s="52">
        <v>10.11</v>
      </c>
      <c r="G582" s="52">
        <v>46</v>
      </c>
      <c r="H582" s="52">
        <v>2</v>
      </c>
    </row>
    <row r="583" spans="1:8" ht="89.25" thickBot="1">
      <c r="A583" s="47"/>
      <c r="B583" s="24" t="s">
        <v>6</v>
      </c>
      <c r="C583" s="51" t="s">
        <v>26</v>
      </c>
      <c r="D583" s="52">
        <f>SUM(D582)</f>
        <v>0.2</v>
      </c>
      <c r="E583" s="52">
        <f>SUM(E582)</f>
        <v>0.11</v>
      </c>
      <c r="F583" s="52">
        <f>SUM(F582)</f>
        <v>10.11</v>
      </c>
      <c r="G583" s="52">
        <f>SUM(G582)</f>
        <v>46</v>
      </c>
      <c r="H583" s="52">
        <f>SUM(H582)</f>
        <v>2</v>
      </c>
    </row>
    <row r="584" spans="1:8" ht="89.25" thickBot="1">
      <c r="A584" s="185" t="s">
        <v>31</v>
      </c>
      <c r="B584" s="186"/>
      <c r="C584" s="186"/>
      <c r="D584" s="186"/>
      <c r="E584" s="186"/>
      <c r="F584" s="186"/>
      <c r="G584" s="186"/>
      <c r="H584" s="187"/>
    </row>
    <row r="585" spans="1:8" ht="89.25" thickBot="1">
      <c r="A585" s="54">
        <v>56</v>
      </c>
      <c r="B585" s="24" t="s">
        <v>228</v>
      </c>
      <c r="C585" s="53" t="s">
        <v>155</v>
      </c>
      <c r="D585" s="52">
        <v>0.53</v>
      </c>
      <c r="E585" s="52">
        <v>2.42</v>
      </c>
      <c r="F585" s="52">
        <v>3.03</v>
      </c>
      <c r="G585" s="52">
        <v>36.67</v>
      </c>
      <c r="H585" s="52">
        <v>3.2</v>
      </c>
    </row>
    <row r="586" spans="1:8" ht="177.75" thickBot="1">
      <c r="A586" s="47">
        <v>92</v>
      </c>
      <c r="B586" s="24" t="s">
        <v>238</v>
      </c>
      <c r="C586" s="51" t="s">
        <v>27</v>
      </c>
      <c r="D586" s="52">
        <v>8.3</v>
      </c>
      <c r="E586" s="52">
        <v>5.6</v>
      </c>
      <c r="F586" s="52">
        <v>11.24</v>
      </c>
      <c r="G586" s="52">
        <v>143</v>
      </c>
      <c r="H586" s="52">
        <v>8</v>
      </c>
    </row>
    <row r="587" spans="1:8" ht="89.25" thickBot="1">
      <c r="A587" s="47">
        <v>63</v>
      </c>
      <c r="B587" s="24" t="s">
        <v>147</v>
      </c>
      <c r="C587" s="34">
        <v>150</v>
      </c>
      <c r="D587" s="52">
        <v>12</v>
      </c>
      <c r="E587" s="52">
        <v>4.71</v>
      </c>
      <c r="F587" s="52">
        <v>30.75</v>
      </c>
      <c r="G587" s="52">
        <v>238.5</v>
      </c>
      <c r="H587" s="52">
        <v>0</v>
      </c>
    </row>
    <row r="588" spans="1:8" ht="177.75" thickBot="1">
      <c r="A588" s="47">
        <v>6</v>
      </c>
      <c r="B588" s="24" t="s">
        <v>74</v>
      </c>
      <c r="C588" s="34">
        <v>60</v>
      </c>
      <c r="D588" s="52">
        <v>8.44</v>
      </c>
      <c r="E588" s="52">
        <v>6.88</v>
      </c>
      <c r="F588" s="52">
        <v>6.13</v>
      </c>
      <c r="G588" s="52">
        <v>119.98</v>
      </c>
      <c r="H588" s="52">
        <v>0.7</v>
      </c>
    </row>
    <row r="589" spans="1:8" ht="177.75" thickBot="1">
      <c r="A589" s="47">
        <v>9</v>
      </c>
      <c r="B589" s="24" t="s">
        <v>43</v>
      </c>
      <c r="C589" s="34">
        <v>150</v>
      </c>
      <c r="D589" s="52">
        <v>0.33</v>
      </c>
      <c r="E589" s="52">
        <v>0</v>
      </c>
      <c r="F589" s="52">
        <v>16.67</v>
      </c>
      <c r="G589" s="52">
        <v>70</v>
      </c>
      <c r="H589" s="52">
        <v>0.3</v>
      </c>
    </row>
    <row r="590" spans="1:8" ht="177.75" thickBot="1">
      <c r="A590" s="47" t="s">
        <v>32</v>
      </c>
      <c r="B590" s="24" t="s">
        <v>56</v>
      </c>
      <c r="C590" s="34">
        <v>20</v>
      </c>
      <c r="D590" s="52">
        <v>1.6</v>
      </c>
      <c r="E590" s="52">
        <v>0.2</v>
      </c>
      <c r="F590" s="52">
        <v>9.64</v>
      </c>
      <c r="G590" s="52">
        <v>47.2</v>
      </c>
      <c r="H590" s="52">
        <v>0</v>
      </c>
    </row>
    <row r="591" spans="1:8" ht="177.75" thickBot="1">
      <c r="A591" s="47" t="s">
        <v>32</v>
      </c>
      <c r="B591" s="24" t="s">
        <v>58</v>
      </c>
      <c r="C591" s="34">
        <v>40</v>
      </c>
      <c r="D591" s="52">
        <v>2.24</v>
      </c>
      <c r="E591" s="52">
        <v>0.48</v>
      </c>
      <c r="F591" s="52">
        <v>19.76</v>
      </c>
      <c r="G591" s="52">
        <v>92.8</v>
      </c>
      <c r="H591" s="52">
        <v>0</v>
      </c>
    </row>
    <row r="592" spans="1:8" ht="89.25" thickBot="1">
      <c r="A592" s="47"/>
      <c r="B592" s="24" t="s">
        <v>6</v>
      </c>
      <c r="C592" s="34">
        <f aca="true" t="shared" si="40" ref="C592:H592">C585+C586+C587+C588+C589+C590+C591</f>
        <v>600</v>
      </c>
      <c r="D592" s="52">
        <f t="shared" si="40"/>
        <v>33.44</v>
      </c>
      <c r="E592" s="52">
        <f t="shared" si="40"/>
        <v>20.29</v>
      </c>
      <c r="F592" s="52">
        <f t="shared" si="40"/>
        <v>97.22</v>
      </c>
      <c r="G592" s="52">
        <f t="shared" si="40"/>
        <v>748.15</v>
      </c>
      <c r="H592" s="52">
        <f t="shared" si="40"/>
        <v>12.2</v>
      </c>
    </row>
    <row r="593" spans="1:8" ht="89.25" thickBot="1">
      <c r="A593" s="172" t="s">
        <v>145</v>
      </c>
      <c r="B593" s="173"/>
      <c r="C593" s="173"/>
      <c r="D593" s="173"/>
      <c r="E593" s="173"/>
      <c r="F593" s="173"/>
      <c r="G593" s="173"/>
      <c r="H593" s="174"/>
    </row>
    <row r="594" spans="1:8" ht="266.25" thickBot="1">
      <c r="A594" s="55">
        <v>21.1</v>
      </c>
      <c r="B594" s="56" t="s">
        <v>172</v>
      </c>
      <c r="C594" s="51" t="s">
        <v>27</v>
      </c>
      <c r="D594" s="48">
        <v>4.35</v>
      </c>
      <c r="E594" s="48">
        <v>4.8</v>
      </c>
      <c r="F594" s="48">
        <v>6</v>
      </c>
      <c r="G594" s="48">
        <v>88.5</v>
      </c>
      <c r="H594" s="48">
        <v>1.05</v>
      </c>
    </row>
    <row r="595" spans="1:8" ht="354.75" thickBot="1">
      <c r="A595" s="64">
        <v>72</v>
      </c>
      <c r="B595" s="65" t="s">
        <v>167</v>
      </c>
      <c r="C595" s="73" t="s">
        <v>34</v>
      </c>
      <c r="D595" s="67">
        <v>4.73</v>
      </c>
      <c r="E595" s="67">
        <v>3.47</v>
      </c>
      <c r="F595" s="67">
        <v>32.61</v>
      </c>
      <c r="G595" s="67">
        <v>193.71</v>
      </c>
      <c r="H595" s="67">
        <v>0.22</v>
      </c>
    </row>
    <row r="596" spans="1:8" ht="89.25" thickBot="1">
      <c r="A596" s="54"/>
      <c r="B596" s="24" t="s">
        <v>29</v>
      </c>
      <c r="C596" s="34">
        <f aca="true" t="shared" si="41" ref="C596:H596">C594+C595</f>
        <v>210</v>
      </c>
      <c r="D596" s="52">
        <f t="shared" si="41"/>
        <v>9.08</v>
      </c>
      <c r="E596" s="52">
        <f t="shared" si="41"/>
        <v>8.27</v>
      </c>
      <c r="F596" s="52">
        <f t="shared" si="41"/>
        <v>38.61</v>
      </c>
      <c r="G596" s="52">
        <f t="shared" si="41"/>
        <v>282.21000000000004</v>
      </c>
      <c r="H596" s="52">
        <f t="shared" si="41"/>
        <v>1.27</v>
      </c>
    </row>
    <row r="597" spans="1:8" ht="89.25" thickBot="1">
      <c r="A597" s="185" t="s">
        <v>144</v>
      </c>
      <c r="B597" s="186"/>
      <c r="C597" s="186"/>
      <c r="D597" s="186"/>
      <c r="E597" s="186"/>
      <c r="F597" s="186"/>
      <c r="G597" s="186"/>
      <c r="H597" s="187"/>
    </row>
    <row r="598" spans="1:8" ht="177.75" thickBot="1">
      <c r="A598" s="54">
        <v>71</v>
      </c>
      <c r="B598" s="26" t="s">
        <v>261</v>
      </c>
      <c r="C598" s="34">
        <v>120</v>
      </c>
      <c r="D598" s="48">
        <v>13.15</v>
      </c>
      <c r="E598" s="48">
        <v>2.82</v>
      </c>
      <c r="F598" s="48">
        <v>4.23</v>
      </c>
      <c r="G598" s="48">
        <v>94</v>
      </c>
      <c r="H598" s="48">
        <v>1.51</v>
      </c>
    </row>
    <row r="599" spans="1:8" ht="89.25" thickBot="1">
      <c r="A599" s="54">
        <v>79</v>
      </c>
      <c r="B599" s="24" t="s">
        <v>262</v>
      </c>
      <c r="C599" s="34">
        <v>115</v>
      </c>
      <c r="D599" s="52">
        <v>2.21</v>
      </c>
      <c r="E599" s="52">
        <v>5.1</v>
      </c>
      <c r="F599" s="52">
        <v>15.45</v>
      </c>
      <c r="G599" s="52">
        <v>116.51</v>
      </c>
      <c r="H599" s="52">
        <v>9.2</v>
      </c>
    </row>
    <row r="600" spans="1:8" ht="177.75" thickBot="1">
      <c r="A600" s="47" t="s">
        <v>32</v>
      </c>
      <c r="B600" s="24" t="s">
        <v>56</v>
      </c>
      <c r="C600" s="34">
        <v>15</v>
      </c>
      <c r="D600" s="52">
        <v>1.2</v>
      </c>
      <c r="E600" s="52">
        <v>0.15</v>
      </c>
      <c r="F600" s="52">
        <v>7.23</v>
      </c>
      <c r="G600" s="52">
        <v>35.4</v>
      </c>
      <c r="H600" s="52">
        <v>0</v>
      </c>
    </row>
    <row r="601" spans="1:8" ht="89.25" thickBot="1">
      <c r="A601" s="49">
        <v>31</v>
      </c>
      <c r="B601" s="50" t="s">
        <v>9</v>
      </c>
      <c r="C601" s="34">
        <v>180</v>
      </c>
      <c r="D601" s="48">
        <v>0.05</v>
      </c>
      <c r="E601" s="48">
        <v>0</v>
      </c>
      <c r="F601" s="48">
        <v>10.92</v>
      </c>
      <c r="G601" s="48">
        <v>42</v>
      </c>
      <c r="H601" s="48">
        <v>1.92</v>
      </c>
    </row>
    <row r="602" spans="1:8" ht="177.75" thickBot="1">
      <c r="A602" s="47">
        <v>69</v>
      </c>
      <c r="B602" s="24" t="s">
        <v>106</v>
      </c>
      <c r="C602" s="51" t="s">
        <v>253</v>
      </c>
      <c r="D602" s="52">
        <v>0.34</v>
      </c>
      <c r="E602" s="52">
        <v>0.34</v>
      </c>
      <c r="F602" s="52">
        <v>8.33</v>
      </c>
      <c r="G602" s="52">
        <v>39.95</v>
      </c>
      <c r="H602" s="52">
        <v>8.5</v>
      </c>
    </row>
    <row r="603" spans="1:8" ht="89.25" thickBot="1">
      <c r="A603" s="47"/>
      <c r="B603" s="24" t="s">
        <v>6</v>
      </c>
      <c r="C603" s="34">
        <f aca="true" t="shared" si="42" ref="C603:H603">C598+C599+C600+C601+C602</f>
        <v>515</v>
      </c>
      <c r="D603" s="52">
        <f t="shared" si="42"/>
        <v>16.95</v>
      </c>
      <c r="E603" s="52">
        <f t="shared" si="42"/>
        <v>8.41</v>
      </c>
      <c r="F603" s="52">
        <f t="shared" si="42"/>
        <v>46.16</v>
      </c>
      <c r="G603" s="52">
        <f t="shared" si="42"/>
        <v>327.85999999999996</v>
      </c>
      <c r="H603" s="52">
        <f t="shared" si="42"/>
        <v>21.13</v>
      </c>
    </row>
    <row r="604" spans="1:8" ht="89.25" thickBot="1">
      <c r="A604" s="47"/>
      <c r="B604" s="24"/>
      <c r="C604" s="51"/>
      <c r="D604" s="40" t="s">
        <v>0</v>
      </c>
      <c r="E604" s="41" t="s">
        <v>1</v>
      </c>
      <c r="F604" s="41" t="s">
        <v>2</v>
      </c>
      <c r="G604" s="149" t="s">
        <v>3</v>
      </c>
      <c r="H604" s="41" t="s">
        <v>4</v>
      </c>
    </row>
    <row r="605" spans="1:8" ht="89.25" thickBot="1">
      <c r="A605" s="47"/>
      <c r="B605" s="58" t="s">
        <v>10</v>
      </c>
      <c r="C605" s="51"/>
      <c r="D605" s="52">
        <f>D580+D583+D592+D596+D603</f>
        <v>68.5</v>
      </c>
      <c r="E605" s="52">
        <f>E580+E583+E592+E596+E603</f>
        <v>49.42999999999999</v>
      </c>
      <c r="F605" s="52">
        <f>F580+F583+F592+F596+F603</f>
        <v>231.03</v>
      </c>
      <c r="G605" s="52">
        <f>G580+G583+G592+G596+G603</f>
        <v>1703.3899999999999</v>
      </c>
      <c r="H605" s="52">
        <f>H580+H583+H592+H596+H603</f>
        <v>38.65</v>
      </c>
    </row>
    <row r="606" spans="1:8" ht="176.25" thickBot="1">
      <c r="A606" s="47"/>
      <c r="B606" s="58" t="s">
        <v>11</v>
      </c>
      <c r="C606" s="51"/>
      <c r="D606" s="52">
        <v>42</v>
      </c>
      <c r="E606" s="52">
        <v>47</v>
      </c>
      <c r="F606" s="52">
        <v>203</v>
      </c>
      <c r="G606" s="52">
        <v>1400</v>
      </c>
      <c r="H606" s="52">
        <v>45</v>
      </c>
    </row>
    <row r="607" spans="1:8" ht="240" customHeight="1" thickBot="1">
      <c r="A607" s="42"/>
      <c r="B607" s="59" t="s">
        <v>12</v>
      </c>
      <c r="C607" s="41"/>
      <c r="D607" s="60">
        <f>D605*100/D606</f>
        <v>163.0952380952381</v>
      </c>
      <c r="E607" s="60">
        <f>E605*100/E606</f>
        <v>105.17021276595743</v>
      </c>
      <c r="F607" s="60">
        <f>F605*100/F606</f>
        <v>113.80788177339902</v>
      </c>
      <c r="G607" s="60">
        <f>G605*100/G606</f>
        <v>121.67071428571428</v>
      </c>
      <c r="H607" s="60">
        <f>H605*100/H606</f>
        <v>85.88888888888889</v>
      </c>
    </row>
    <row r="608" spans="1:8" ht="88.5">
      <c r="A608" s="61"/>
      <c r="B608" s="147"/>
      <c r="C608" s="146"/>
      <c r="D608" s="62"/>
      <c r="E608" s="62"/>
      <c r="F608" s="62"/>
      <c r="G608" s="62"/>
      <c r="H608" s="62"/>
    </row>
    <row r="609" spans="1:8" ht="88.5">
      <c r="A609" s="61"/>
      <c r="B609" s="38" t="s">
        <v>68</v>
      </c>
      <c r="C609" s="38"/>
      <c r="E609" s="62"/>
      <c r="F609" s="62"/>
      <c r="G609" s="62"/>
      <c r="H609" s="62"/>
    </row>
    <row r="610" spans="1:2" ht="102">
      <c r="A610" s="61"/>
      <c r="B610" s="38" t="s">
        <v>271</v>
      </c>
    </row>
    <row r="611" spans="1:2" ht="88.5">
      <c r="A611" s="61"/>
      <c r="B611" s="38" t="s">
        <v>67</v>
      </c>
    </row>
    <row r="612" spans="1:2" ht="88.5">
      <c r="A612" s="61"/>
      <c r="B612" s="38" t="s">
        <v>149</v>
      </c>
    </row>
    <row r="613" spans="1:8" ht="88.5">
      <c r="A613" s="175" t="s">
        <v>201</v>
      </c>
      <c r="B613" s="175"/>
      <c r="C613" s="175"/>
      <c r="D613" s="175"/>
      <c r="E613" s="175"/>
      <c r="F613" s="175"/>
      <c r="G613" s="175"/>
      <c r="H613" s="175"/>
    </row>
    <row r="614" spans="1:8" ht="88.5">
      <c r="A614" s="175" t="s">
        <v>48</v>
      </c>
      <c r="B614" s="175"/>
      <c r="C614" s="175"/>
      <c r="D614" s="175"/>
      <c r="E614" s="175"/>
      <c r="F614" s="175"/>
      <c r="G614" s="175"/>
      <c r="H614" s="175"/>
    </row>
    <row r="615" spans="1:8" ht="88.5">
      <c r="A615" s="176" t="s">
        <v>64</v>
      </c>
      <c r="B615" s="176"/>
      <c r="C615" s="176"/>
      <c r="D615" s="176"/>
      <c r="E615" s="176"/>
      <c r="F615" s="176"/>
      <c r="G615" s="176"/>
      <c r="H615" s="176"/>
    </row>
    <row r="616" spans="1:8" ht="89.25" thickBot="1">
      <c r="A616" s="177"/>
      <c r="B616" s="177"/>
      <c r="C616" s="177"/>
      <c r="D616" s="177"/>
      <c r="E616" s="177"/>
      <c r="F616" s="177"/>
      <c r="G616" s="177"/>
      <c r="H616" s="177"/>
    </row>
    <row r="617" spans="1:8" ht="89.25" thickBot="1">
      <c r="A617" s="178" t="s">
        <v>30</v>
      </c>
      <c r="B617" s="180" t="s">
        <v>50</v>
      </c>
      <c r="C617" s="183" t="s">
        <v>111</v>
      </c>
      <c r="D617" s="172" t="s">
        <v>24</v>
      </c>
      <c r="E617" s="173"/>
      <c r="F617" s="174"/>
      <c r="G617" s="180" t="s">
        <v>51</v>
      </c>
      <c r="H617" s="180" t="s">
        <v>112</v>
      </c>
    </row>
    <row r="618" spans="1:8" ht="89.25" thickBot="1">
      <c r="A618" s="179"/>
      <c r="B618" s="181"/>
      <c r="C618" s="184"/>
      <c r="D618" s="40" t="s">
        <v>0</v>
      </c>
      <c r="E618" s="41" t="s">
        <v>1</v>
      </c>
      <c r="F618" s="41" t="s">
        <v>2</v>
      </c>
      <c r="G618" s="181"/>
      <c r="H618" s="181"/>
    </row>
    <row r="619" spans="1:8" ht="89.25" thickBot="1">
      <c r="A619" s="148">
        <v>1</v>
      </c>
      <c r="B619" s="43">
        <v>2</v>
      </c>
      <c r="C619" s="44">
        <v>3</v>
      </c>
      <c r="D619" s="63">
        <v>4</v>
      </c>
      <c r="E619" s="43">
        <v>5</v>
      </c>
      <c r="F619" s="43">
        <v>6</v>
      </c>
      <c r="G619" s="43">
        <v>7</v>
      </c>
      <c r="H619" s="43">
        <v>8</v>
      </c>
    </row>
    <row r="620" spans="1:8" ht="89.25" thickBot="1">
      <c r="A620" s="172" t="s">
        <v>5</v>
      </c>
      <c r="B620" s="173"/>
      <c r="C620" s="173"/>
      <c r="D620" s="173"/>
      <c r="E620" s="173"/>
      <c r="F620" s="173"/>
      <c r="G620" s="173"/>
      <c r="H620" s="174"/>
    </row>
    <row r="621" spans="1:8" ht="266.25" thickBot="1">
      <c r="A621" s="54">
        <v>84</v>
      </c>
      <c r="B621" s="26" t="s">
        <v>204</v>
      </c>
      <c r="C621" s="34">
        <v>150</v>
      </c>
      <c r="D621" s="48">
        <v>4.97</v>
      </c>
      <c r="E621" s="48">
        <v>5.98</v>
      </c>
      <c r="F621" s="48">
        <v>18.41</v>
      </c>
      <c r="G621" s="48">
        <v>147</v>
      </c>
      <c r="H621" s="48">
        <v>1.47</v>
      </c>
    </row>
    <row r="622" spans="1:8" ht="89.25" thickBot="1">
      <c r="A622" s="54">
        <v>15</v>
      </c>
      <c r="B622" s="50" t="s">
        <v>224</v>
      </c>
      <c r="C622" s="34">
        <v>180</v>
      </c>
      <c r="D622" s="52">
        <v>2.79</v>
      </c>
      <c r="E622" s="52">
        <v>3.04</v>
      </c>
      <c r="F622" s="52">
        <v>12.32</v>
      </c>
      <c r="G622" s="52">
        <v>87</v>
      </c>
      <c r="H622" s="52">
        <v>1.17</v>
      </c>
    </row>
    <row r="623" spans="1:8" ht="177.75" thickBot="1">
      <c r="A623" s="47">
        <v>3</v>
      </c>
      <c r="B623" s="24" t="s">
        <v>38</v>
      </c>
      <c r="C623" s="51" t="s">
        <v>259</v>
      </c>
      <c r="D623" s="52">
        <v>3.42</v>
      </c>
      <c r="E623" s="52">
        <v>6.09</v>
      </c>
      <c r="F623" s="52">
        <v>9.9</v>
      </c>
      <c r="G623" s="52">
        <v>108</v>
      </c>
      <c r="H623" s="52">
        <v>0.06</v>
      </c>
    </row>
    <row r="624" spans="1:8" ht="89.25" thickBot="1">
      <c r="A624" s="47"/>
      <c r="B624" s="24" t="s">
        <v>6</v>
      </c>
      <c r="C624" s="34">
        <f>C621+C622+C623</f>
        <v>363</v>
      </c>
      <c r="D624" s="52">
        <f>SUM(D621:D623)</f>
        <v>11.18</v>
      </c>
      <c r="E624" s="52">
        <f>SUM(E621:E623)</f>
        <v>15.11</v>
      </c>
      <c r="F624" s="52">
        <f>SUM(F621:F623)</f>
        <v>40.63</v>
      </c>
      <c r="G624" s="52">
        <f>SUM(G621:G623)</f>
        <v>342</v>
      </c>
      <c r="H624" s="52">
        <f>SUM(H621:H623)</f>
        <v>2.6999999999999997</v>
      </c>
    </row>
    <row r="625" spans="1:8" ht="89.25" thickBot="1">
      <c r="A625" s="172" t="s">
        <v>53</v>
      </c>
      <c r="B625" s="173"/>
      <c r="C625" s="173"/>
      <c r="D625" s="173"/>
      <c r="E625" s="173"/>
      <c r="F625" s="173"/>
      <c r="G625" s="173"/>
      <c r="H625" s="174"/>
    </row>
    <row r="626" spans="1:8" ht="89.25" thickBot="1">
      <c r="A626" s="47" t="s">
        <v>32</v>
      </c>
      <c r="B626" s="24" t="s">
        <v>182</v>
      </c>
      <c r="C626" s="53" t="s">
        <v>26</v>
      </c>
      <c r="D626" s="52">
        <v>0.2</v>
      </c>
      <c r="E626" s="52">
        <v>0.11</v>
      </c>
      <c r="F626" s="52">
        <v>10.11</v>
      </c>
      <c r="G626" s="52">
        <v>46</v>
      </c>
      <c r="H626" s="52">
        <v>2</v>
      </c>
    </row>
    <row r="627" spans="1:8" ht="89.25" thickBot="1">
      <c r="A627" s="47"/>
      <c r="B627" s="24" t="s">
        <v>6</v>
      </c>
      <c r="C627" s="51" t="s">
        <v>26</v>
      </c>
      <c r="D627" s="52">
        <f>SUM(D626)</f>
        <v>0.2</v>
      </c>
      <c r="E627" s="52">
        <f>SUM(E626)</f>
        <v>0.11</v>
      </c>
      <c r="F627" s="52">
        <f>SUM(F626)</f>
        <v>10.11</v>
      </c>
      <c r="G627" s="52">
        <f>SUM(G626)</f>
        <v>46</v>
      </c>
      <c r="H627" s="52">
        <f>SUM(H626)</f>
        <v>2</v>
      </c>
    </row>
    <row r="628" spans="1:8" ht="89.25" thickBot="1">
      <c r="A628" s="185" t="s">
        <v>31</v>
      </c>
      <c r="B628" s="186"/>
      <c r="C628" s="186"/>
      <c r="D628" s="186"/>
      <c r="E628" s="186"/>
      <c r="F628" s="186"/>
      <c r="G628" s="186"/>
      <c r="H628" s="187"/>
    </row>
    <row r="629" spans="1:8" ht="89.25" thickBot="1">
      <c r="A629" s="54">
        <v>51</v>
      </c>
      <c r="B629" s="24" t="s">
        <v>226</v>
      </c>
      <c r="C629" s="53" t="s">
        <v>155</v>
      </c>
      <c r="D629" s="52">
        <v>0.47</v>
      </c>
      <c r="E629" s="52">
        <v>2.44</v>
      </c>
      <c r="F629" s="52">
        <v>2.77</v>
      </c>
      <c r="G629" s="52">
        <v>35</v>
      </c>
      <c r="H629" s="52">
        <v>1.1</v>
      </c>
    </row>
    <row r="630" spans="1:8" ht="266.25" thickBot="1">
      <c r="A630" s="47">
        <v>57</v>
      </c>
      <c r="B630" s="24" t="s">
        <v>236</v>
      </c>
      <c r="C630" s="53" t="s">
        <v>27</v>
      </c>
      <c r="D630" s="52">
        <v>3.09</v>
      </c>
      <c r="E630" s="52">
        <v>4.22</v>
      </c>
      <c r="F630" s="52">
        <v>11.35</v>
      </c>
      <c r="G630" s="52">
        <v>104.7</v>
      </c>
      <c r="H630" s="52">
        <v>3.18</v>
      </c>
    </row>
    <row r="631" spans="1:8" ht="177.75" thickBot="1">
      <c r="A631" s="47">
        <v>81</v>
      </c>
      <c r="B631" s="24" t="s">
        <v>209</v>
      </c>
      <c r="C631" s="34">
        <v>200</v>
      </c>
      <c r="D631" s="52">
        <v>3.05</v>
      </c>
      <c r="E631" s="52">
        <v>6.42</v>
      </c>
      <c r="F631" s="52">
        <v>12.48</v>
      </c>
      <c r="G631" s="52">
        <v>127.2</v>
      </c>
      <c r="H631" s="52">
        <v>16.25</v>
      </c>
    </row>
    <row r="632" spans="1:8" ht="177.75" thickBot="1">
      <c r="A632" s="54">
        <v>54</v>
      </c>
      <c r="B632" s="50" t="s">
        <v>154</v>
      </c>
      <c r="C632" s="53" t="s">
        <v>27</v>
      </c>
      <c r="D632" s="52">
        <v>0.12</v>
      </c>
      <c r="E632" s="52">
        <v>0.12</v>
      </c>
      <c r="F632" s="52">
        <v>12.67</v>
      </c>
      <c r="G632" s="52">
        <v>53.25</v>
      </c>
      <c r="H632" s="52">
        <v>3</v>
      </c>
    </row>
    <row r="633" spans="1:8" ht="177.75" thickBot="1">
      <c r="A633" s="47" t="s">
        <v>32</v>
      </c>
      <c r="B633" s="24" t="s">
        <v>56</v>
      </c>
      <c r="C633" s="34">
        <v>20</v>
      </c>
      <c r="D633" s="52">
        <v>1.6</v>
      </c>
      <c r="E633" s="52">
        <v>0.2</v>
      </c>
      <c r="F633" s="52">
        <v>9.64</v>
      </c>
      <c r="G633" s="52">
        <v>47.2</v>
      </c>
      <c r="H633" s="52">
        <v>0</v>
      </c>
    </row>
    <row r="634" spans="1:8" ht="177.75" thickBot="1">
      <c r="A634" s="47" t="s">
        <v>32</v>
      </c>
      <c r="B634" s="24" t="s">
        <v>58</v>
      </c>
      <c r="C634" s="34">
        <v>40</v>
      </c>
      <c r="D634" s="52">
        <v>2.24</v>
      </c>
      <c r="E634" s="52">
        <v>0.48</v>
      </c>
      <c r="F634" s="52">
        <v>19.76</v>
      </c>
      <c r="G634" s="52">
        <v>92.8</v>
      </c>
      <c r="H634" s="52">
        <v>0</v>
      </c>
    </row>
    <row r="635" spans="1:8" ht="89.25" thickBot="1">
      <c r="A635" s="47"/>
      <c r="B635" s="24" t="s">
        <v>29</v>
      </c>
      <c r="C635" s="34">
        <f aca="true" t="shared" si="43" ref="C635:H635">C629+C630+C631+C632+C633+C634</f>
        <v>590</v>
      </c>
      <c r="D635" s="52">
        <f t="shared" si="43"/>
        <v>10.57</v>
      </c>
      <c r="E635" s="52">
        <f t="shared" si="43"/>
        <v>13.879999999999999</v>
      </c>
      <c r="F635" s="52">
        <f t="shared" si="43"/>
        <v>68.67</v>
      </c>
      <c r="G635" s="52">
        <f t="shared" si="43"/>
        <v>460.15</v>
      </c>
      <c r="H635" s="52">
        <f t="shared" si="43"/>
        <v>23.53</v>
      </c>
    </row>
    <row r="636" spans="1:8" ht="89.25" thickBot="1">
      <c r="A636" s="172" t="s">
        <v>145</v>
      </c>
      <c r="B636" s="173"/>
      <c r="C636" s="173"/>
      <c r="D636" s="173"/>
      <c r="E636" s="173"/>
      <c r="F636" s="173"/>
      <c r="G636" s="173"/>
      <c r="H636" s="174"/>
    </row>
    <row r="637" spans="1:8" ht="266.25" thickBot="1">
      <c r="A637" s="55">
        <v>21.1</v>
      </c>
      <c r="B637" s="56" t="s">
        <v>172</v>
      </c>
      <c r="C637" s="51" t="s">
        <v>27</v>
      </c>
      <c r="D637" s="48">
        <v>4.35</v>
      </c>
      <c r="E637" s="48">
        <v>4.8</v>
      </c>
      <c r="F637" s="48">
        <v>6</v>
      </c>
      <c r="G637" s="48">
        <v>88.5</v>
      </c>
      <c r="H637" s="48">
        <v>1.05</v>
      </c>
    </row>
    <row r="638" spans="1:8" ht="89.25" thickBot="1">
      <c r="A638" s="54">
        <v>74</v>
      </c>
      <c r="B638" s="24" t="s">
        <v>221</v>
      </c>
      <c r="C638" s="51" t="s">
        <v>34</v>
      </c>
      <c r="D638" s="52">
        <v>7.65</v>
      </c>
      <c r="E638" s="52">
        <v>9.23</v>
      </c>
      <c r="F638" s="52">
        <v>14.73</v>
      </c>
      <c r="G638" s="52">
        <v>178.5</v>
      </c>
      <c r="H638" s="52">
        <v>0.27</v>
      </c>
    </row>
    <row r="639" spans="1:8" ht="89.25" thickBot="1">
      <c r="A639" s="54"/>
      <c r="B639" s="24" t="s">
        <v>29</v>
      </c>
      <c r="C639" s="34">
        <f aca="true" t="shared" si="44" ref="C639:H639">C637+C638</f>
        <v>210</v>
      </c>
      <c r="D639" s="52">
        <f t="shared" si="44"/>
        <v>12</v>
      </c>
      <c r="E639" s="52">
        <f t="shared" si="44"/>
        <v>14.030000000000001</v>
      </c>
      <c r="F639" s="52">
        <f t="shared" si="44"/>
        <v>20.73</v>
      </c>
      <c r="G639" s="52">
        <f t="shared" si="44"/>
        <v>267</v>
      </c>
      <c r="H639" s="52">
        <f t="shared" si="44"/>
        <v>1.32</v>
      </c>
    </row>
    <row r="640" spans="1:8" ht="89.25" thickBot="1">
      <c r="A640" s="185" t="s">
        <v>144</v>
      </c>
      <c r="B640" s="186"/>
      <c r="C640" s="186"/>
      <c r="D640" s="186"/>
      <c r="E640" s="186"/>
      <c r="F640" s="186"/>
      <c r="G640" s="186"/>
      <c r="H640" s="187"/>
    </row>
    <row r="641" spans="1:8" ht="177.75" thickBot="1">
      <c r="A641" s="47">
        <v>53</v>
      </c>
      <c r="B641" s="24" t="s">
        <v>174</v>
      </c>
      <c r="C641" s="34">
        <v>150</v>
      </c>
      <c r="D641" s="52">
        <v>4.05</v>
      </c>
      <c r="E641" s="52">
        <v>5.18</v>
      </c>
      <c r="F641" s="52">
        <v>7.66</v>
      </c>
      <c r="G641" s="52">
        <v>89.25</v>
      </c>
      <c r="H641" s="52">
        <v>3.6</v>
      </c>
    </row>
    <row r="642" spans="1:8" ht="89.25" thickBot="1">
      <c r="A642" s="54">
        <v>13</v>
      </c>
      <c r="B642" s="50" t="s">
        <v>7</v>
      </c>
      <c r="C642" s="34">
        <v>180</v>
      </c>
      <c r="D642" s="52">
        <v>0</v>
      </c>
      <c r="E642" s="52">
        <v>0</v>
      </c>
      <c r="F642" s="52">
        <v>10.78</v>
      </c>
      <c r="G642" s="52">
        <v>36</v>
      </c>
      <c r="H642" s="52">
        <v>0</v>
      </c>
    </row>
    <row r="643" spans="1:8" ht="177.75" thickBot="1">
      <c r="A643" s="47">
        <v>69</v>
      </c>
      <c r="B643" s="24" t="s">
        <v>106</v>
      </c>
      <c r="C643" s="51" t="s">
        <v>253</v>
      </c>
      <c r="D643" s="52">
        <v>0.34</v>
      </c>
      <c r="E643" s="52">
        <v>0.34</v>
      </c>
      <c r="F643" s="52">
        <v>8.33</v>
      </c>
      <c r="G643" s="52">
        <v>39.95</v>
      </c>
      <c r="H643" s="52">
        <v>8.5</v>
      </c>
    </row>
    <row r="644" spans="1:8" ht="177.75" thickBot="1">
      <c r="A644" s="47" t="s">
        <v>32</v>
      </c>
      <c r="B644" s="24" t="s">
        <v>56</v>
      </c>
      <c r="C644" s="34">
        <v>15</v>
      </c>
      <c r="D644" s="52">
        <v>1.2</v>
      </c>
      <c r="E644" s="52">
        <v>0.15</v>
      </c>
      <c r="F644" s="52">
        <v>7.23</v>
      </c>
      <c r="G644" s="52">
        <v>35.4</v>
      </c>
      <c r="H644" s="52">
        <v>0</v>
      </c>
    </row>
    <row r="645" spans="1:8" ht="89.25" thickBot="1">
      <c r="A645" s="47"/>
      <c r="B645" s="24" t="s">
        <v>29</v>
      </c>
      <c r="C645" s="34">
        <f aca="true" t="shared" si="45" ref="C645:H645">C641+C642+C643+C644</f>
        <v>430</v>
      </c>
      <c r="D645" s="52">
        <f t="shared" si="45"/>
        <v>5.59</v>
      </c>
      <c r="E645" s="52">
        <f t="shared" si="45"/>
        <v>5.67</v>
      </c>
      <c r="F645" s="52">
        <f t="shared" si="45"/>
        <v>34</v>
      </c>
      <c r="G645" s="52">
        <f t="shared" si="45"/>
        <v>200.6</v>
      </c>
      <c r="H645" s="52">
        <f t="shared" si="45"/>
        <v>12.1</v>
      </c>
    </row>
    <row r="646" spans="1:8" ht="89.25" thickBot="1">
      <c r="A646" s="47"/>
      <c r="B646" s="24"/>
      <c r="C646" s="51"/>
      <c r="D646" s="40" t="s">
        <v>0</v>
      </c>
      <c r="E646" s="41" t="s">
        <v>1</v>
      </c>
      <c r="F646" s="41" t="s">
        <v>2</v>
      </c>
      <c r="G646" s="149" t="s">
        <v>3</v>
      </c>
      <c r="H646" s="41" t="s">
        <v>4</v>
      </c>
    </row>
    <row r="647" spans="1:8" ht="89.25" thickBot="1">
      <c r="A647" s="47"/>
      <c r="B647" s="58" t="s">
        <v>10</v>
      </c>
      <c r="C647" s="51"/>
      <c r="D647" s="52">
        <f>D624+D627+D635+D639+D645</f>
        <v>39.540000000000006</v>
      </c>
      <c r="E647" s="52">
        <f>E624+E627+E635+E639+E645</f>
        <v>48.8</v>
      </c>
      <c r="F647" s="52">
        <f>F624+F627+F635+F639+F645</f>
        <v>174.14</v>
      </c>
      <c r="G647" s="52">
        <f>G624+G627+G635+G639+G645</f>
        <v>1315.75</v>
      </c>
      <c r="H647" s="52">
        <f>H624+H627+H635+H639+H645</f>
        <v>41.65</v>
      </c>
    </row>
    <row r="648" spans="1:8" ht="176.25" thickBot="1">
      <c r="A648" s="47"/>
      <c r="B648" s="58" t="s">
        <v>11</v>
      </c>
      <c r="C648" s="51"/>
      <c r="D648" s="52">
        <v>42</v>
      </c>
      <c r="E648" s="52">
        <v>47</v>
      </c>
      <c r="F648" s="52">
        <v>203</v>
      </c>
      <c r="G648" s="52">
        <v>1400</v>
      </c>
      <c r="H648" s="52">
        <v>45</v>
      </c>
    </row>
    <row r="649" spans="1:8" ht="350.25" thickBot="1">
      <c r="A649" s="42"/>
      <c r="B649" s="59" t="s">
        <v>12</v>
      </c>
      <c r="C649" s="41"/>
      <c r="D649" s="60">
        <f>D647*100/D648</f>
        <v>94.14285714285715</v>
      </c>
      <c r="E649" s="60">
        <f>E647*100/E648</f>
        <v>103.82978723404256</v>
      </c>
      <c r="F649" s="60">
        <f>F647*100/F648</f>
        <v>85.78325123152709</v>
      </c>
      <c r="G649" s="60">
        <f>G647*100/G648</f>
        <v>93.98214285714286</v>
      </c>
      <c r="H649" s="60">
        <f>H647*100/H648</f>
        <v>92.55555555555556</v>
      </c>
    </row>
    <row r="650" spans="1:8" ht="88.5">
      <c r="A650" s="61"/>
      <c r="B650" s="147"/>
      <c r="C650" s="146"/>
      <c r="D650" s="62"/>
      <c r="E650" s="62"/>
      <c r="F650" s="62"/>
      <c r="G650" s="62"/>
      <c r="H650" s="62"/>
    </row>
    <row r="651" spans="1:8" ht="88.5">
      <c r="A651" s="61"/>
      <c r="B651" s="38" t="s">
        <v>68</v>
      </c>
      <c r="C651" s="38"/>
      <c r="E651" s="62"/>
      <c r="F651" s="62"/>
      <c r="G651" s="62"/>
      <c r="H651" s="62"/>
    </row>
    <row r="652" spans="1:2" ht="102">
      <c r="A652" s="61"/>
      <c r="B652" s="38" t="s">
        <v>271</v>
      </c>
    </row>
    <row r="653" spans="1:2" ht="88.5">
      <c r="A653" s="61"/>
      <c r="B653" s="38" t="s">
        <v>67</v>
      </c>
    </row>
    <row r="654" spans="1:2" ht="88.5">
      <c r="A654" s="61"/>
      <c r="B654" s="38" t="s">
        <v>149</v>
      </c>
    </row>
    <row r="655" spans="1:8" ht="88.5">
      <c r="A655" s="175" t="s">
        <v>186</v>
      </c>
      <c r="B655" s="175"/>
      <c r="C655" s="175"/>
      <c r="D655" s="175"/>
      <c r="E655" s="175"/>
      <c r="F655" s="175"/>
      <c r="G655" s="175"/>
      <c r="H655" s="175"/>
    </row>
    <row r="656" spans="1:8" ht="88.5">
      <c r="A656" s="175" t="s">
        <v>52</v>
      </c>
      <c r="B656" s="175"/>
      <c r="C656" s="175"/>
      <c r="D656" s="175"/>
      <c r="E656" s="175"/>
      <c r="F656" s="175"/>
      <c r="G656" s="175"/>
      <c r="H656" s="175"/>
    </row>
    <row r="657" spans="1:8" ht="88.5">
      <c r="A657" s="176" t="s">
        <v>64</v>
      </c>
      <c r="B657" s="176"/>
      <c r="C657" s="176"/>
      <c r="D657" s="176"/>
      <c r="E657" s="176"/>
      <c r="F657" s="176"/>
      <c r="G657" s="176"/>
      <c r="H657" s="176"/>
    </row>
    <row r="658" spans="1:8" ht="89.25" thickBot="1">
      <c r="A658" s="177"/>
      <c r="B658" s="177"/>
      <c r="C658" s="177"/>
      <c r="D658" s="177"/>
      <c r="E658" s="177"/>
      <c r="F658" s="177"/>
      <c r="G658" s="177"/>
      <c r="H658" s="177"/>
    </row>
    <row r="659" spans="1:8" ht="89.25" thickBot="1">
      <c r="A659" s="178" t="s">
        <v>30</v>
      </c>
      <c r="B659" s="180" t="s">
        <v>50</v>
      </c>
      <c r="C659" s="183" t="s">
        <v>111</v>
      </c>
      <c r="D659" s="172" t="s">
        <v>24</v>
      </c>
      <c r="E659" s="173"/>
      <c r="F659" s="174"/>
      <c r="G659" s="180" t="s">
        <v>51</v>
      </c>
      <c r="H659" s="180" t="s">
        <v>112</v>
      </c>
    </row>
    <row r="660" spans="1:8" ht="89.25" thickBot="1">
      <c r="A660" s="179"/>
      <c r="B660" s="181"/>
      <c r="C660" s="184"/>
      <c r="D660" s="40" t="s">
        <v>0</v>
      </c>
      <c r="E660" s="41" t="s">
        <v>1</v>
      </c>
      <c r="F660" s="41" t="s">
        <v>2</v>
      </c>
      <c r="G660" s="181"/>
      <c r="H660" s="181"/>
    </row>
    <row r="661" spans="1:8" ht="89.25" thickBot="1">
      <c r="A661" s="148">
        <v>1</v>
      </c>
      <c r="B661" s="43">
        <v>2</v>
      </c>
      <c r="C661" s="44">
        <v>3</v>
      </c>
      <c r="D661" s="63">
        <v>4</v>
      </c>
      <c r="E661" s="43">
        <v>5</v>
      </c>
      <c r="F661" s="43">
        <v>6</v>
      </c>
      <c r="G661" s="43">
        <v>7</v>
      </c>
      <c r="H661" s="43">
        <v>8</v>
      </c>
    </row>
    <row r="662" spans="1:8" ht="89.25" thickBot="1">
      <c r="A662" s="172" t="s">
        <v>5</v>
      </c>
      <c r="B662" s="173"/>
      <c r="C662" s="173"/>
      <c r="D662" s="173"/>
      <c r="E662" s="173"/>
      <c r="F662" s="173"/>
      <c r="G662" s="173"/>
      <c r="H662" s="174"/>
    </row>
    <row r="663" spans="1:8" ht="177.75" thickBot="1">
      <c r="A663" s="47">
        <v>93</v>
      </c>
      <c r="B663" s="128" t="s">
        <v>233</v>
      </c>
      <c r="C663" s="51" t="s">
        <v>26</v>
      </c>
      <c r="D663" s="52">
        <v>3.01</v>
      </c>
      <c r="E663" s="52">
        <v>3.94</v>
      </c>
      <c r="F663" s="52">
        <v>34.92</v>
      </c>
      <c r="G663" s="52">
        <v>192</v>
      </c>
      <c r="H663" s="52">
        <v>0.12</v>
      </c>
    </row>
    <row r="664" spans="1:8" ht="89.25" thickBot="1">
      <c r="A664" s="54">
        <v>13</v>
      </c>
      <c r="B664" s="50" t="s">
        <v>7</v>
      </c>
      <c r="C664" s="34">
        <v>180</v>
      </c>
      <c r="D664" s="52">
        <v>0</v>
      </c>
      <c r="E664" s="52">
        <v>0</v>
      </c>
      <c r="F664" s="52">
        <v>10.78</v>
      </c>
      <c r="G664" s="52">
        <v>36</v>
      </c>
      <c r="H664" s="52">
        <v>0</v>
      </c>
    </row>
    <row r="665" spans="1:8" ht="177.75" thickBot="1">
      <c r="A665" s="47" t="s">
        <v>32</v>
      </c>
      <c r="B665" s="56" t="s">
        <v>251</v>
      </c>
      <c r="C665" s="53" t="s">
        <v>252</v>
      </c>
      <c r="D665" s="52">
        <v>0.6</v>
      </c>
      <c r="E665" s="52">
        <v>3.95</v>
      </c>
      <c r="F665" s="52">
        <v>8.88</v>
      </c>
      <c r="G665" s="52">
        <v>73.65</v>
      </c>
      <c r="H665" s="52">
        <v>0</v>
      </c>
    </row>
    <row r="666" spans="1:8" ht="89.25" thickBot="1">
      <c r="A666" s="47">
        <v>16</v>
      </c>
      <c r="B666" s="24" t="s">
        <v>36</v>
      </c>
      <c r="C666" s="53" t="s">
        <v>240</v>
      </c>
      <c r="D666" s="52">
        <v>1.56</v>
      </c>
      <c r="E666" s="52">
        <v>3.73</v>
      </c>
      <c r="F666" s="52">
        <v>9.9</v>
      </c>
      <c r="G666" s="52">
        <v>79</v>
      </c>
      <c r="H666" s="52">
        <v>0</v>
      </c>
    </row>
    <row r="667" spans="1:8" ht="89.25" thickBot="1">
      <c r="A667" s="47"/>
      <c r="B667" s="24" t="s">
        <v>6</v>
      </c>
      <c r="C667" s="34">
        <f aca="true" t="shared" si="46" ref="C667:H667">C663+C664+C665+C666</f>
        <v>320</v>
      </c>
      <c r="D667" s="52">
        <f t="shared" si="46"/>
        <v>5.17</v>
      </c>
      <c r="E667" s="52">
        <f t="shared" si="46"/>
        <v>11.620000000000001</v>
      </c>
      <c r="F667" s="52">
        <f t="shared" si="46"/>
        <v>64.48</v>
      </c>
      <c r="G667" s="52">
        <f t="shared" si="46"/>
        <v>380.65</v>
      </c>
      <c r="H667" s="52">
        <f t="shared" si="46"/>
        <v>0.12</v>
      </c>
    </row>
    <row r="668" spans="1:8" ht="89.25" thickBot="1">
      <c r="A668" s="172" t="s">
        <v>53</v>
      </c>
      <c r="B668" s="173"/>
      <c r="C668" s="173"/>
      <c r="D668" s="173"/>
      <c r="E668" s="173"/>
      <c r="F668" s="173"/>
      <c r="G668" s="173"/>
      <c r="H668" s="174"/>
    </row>
    <row r="669" spans="1:8" ht="89.25" thickBot="1">
      <c r="A669" s="47" t="s">
        <v>32</v>
      </c>
      <c r="B669" s="24" t="s">
        <v>182</v>
      </c>
      <c r="C669" s="53" t="s">
        <v>26</v>
      </c>
      <c r="D669" s="52">
        <v>0.2</v>
      </c>
      <c r="E669" s="52">
        <v>0.11</v>
      </c>
      <c r="F669" s="52">
        <v>10.11</v>
      </c>
      <c r="G669" s="52">
        <v>46</v>
      </c>
      <c r="H669" s="52">
        <v>2</v>
      </c>
    </row>
    <row r="670" spans="1:8" ht="89.25" thickBot="1">
      <c r="A670" s="47"/>
      <c r="B670" s="24" t="s">
        <v>6</v>
      </c>
      <c r="C670" s="51" t="s">
        <v>26</v>
      </c>
      <c r="D670" s="52">
        <f>SUM(D669)</f>
        <v>0.2</v>
      </c>
      <c r="E670" s="52">
        <f>SUM(E669)</f>
        <v>0.11</v>
      </c>
      <c r="F670" s="52">
        <f>SUM(F669)</f>
        <v>10.11</v>
      </c>
      <c r="G670" s="52">
        <f>SUM(G669)</f>
        <v>46</v>
      </c>
      <c r="H670" s="52">
        <f>SUM(H669)</f>
        <v>2</v>
      </c>
    </row>
    <row r="671" spans="1:8" ht="89.25" thickBot="1">
      <c r="A671" s="172" t="s">
        <v>8</v>
      </c>
      <c r="B671" s="173"/>
      <c r="C671" s="173"/>
      <c r="D671" s="173"/>
      <c r="E671" s="173"/>
      <c r="F671" s="173"/>
      <c r="G671" s="173"/>
      <c r="H671" s="174"/>
    </row>
    <row r="672" spans="1:8" ht="186" customHeight="1" thickBot="1">
      <c r="A672" s="54">
        <v>38</v>
      </c>
      <c r="B672" s="24" t="s">
        <v>269</v>
      </c>
      <c r="C672" s="53" t="s">
        <v>102</v>
      </c>
      <c r="D672" s="52">
        <v>0.77</v>
      </c>
      <c r="E672" s="52">
        <v>0.14</v>
      </c>
      <c r="F672" s="52">
        <v>3.92</v>
      </c>
      <c r="G672" s="52">
        <v>20</v>
      </c>
      <c r="H672" s="52">
        <v>1.68</v>
      </c>
    </row>
    <row r="673" spans="1:8" ht="266.25" thickBot="1">
      <c r="A673" s="47">
        <v>83</v>
      </c>
      <c r="B673" s="24" t="s">
        <v>239</v>
      </c>
      <c r="C673" s="51" t="s">
        <v>27</v>
      </c>
      <c r="D673" s="52">
        <v>4.14</v>
      </c>
      <c r="E673" s="52">
        <v>4.58</v>
      </c>
      <c r="F673" s="52">
        <v>6.76</v>
      </c>
      <c r="G673" s="52">
        <v>93</v>
      </c>
      <c r="H673" s="52">
        <v>5.36</v>
      </c>
    </row>
    <row r="674" spans="1:8" ht="89.25" thickBot="1">
      <c r="A674" s="47">
        <v>35</v>
      </c>
      <c r="B674" s="24" t="s">
        <v>168</v>
      </c>
      <c r="C674" s="51" t="s">
        <v>34</v>
      </c>
      <c r="D674" s="52">
        <v>4.5</v>
      </c>
      <c r="E674" s="52">
        <v>5.7</v>
      </c>
      <c r="F674" s="52">
        <v>1.85</v>
      </c>
      <c r="G674" s="52">
        <v>123.6</v>
      </c>
      <c r="H674" s="52">
        <v>0.6</v>
      </c>
    </row>
    <row r="675" spans="1:8" ht="177.75" thickBot="1">
      <c r="A675" s="64">
        <v>42</v>
      </c>
      <c r="B675" s="65" t="s">
        <v>152</v>
      </c>
      <c r="C675" s="66">
        <v>75</v>
      </c>
      <c r="D675" s="67">
        <v>2.71</v>
      </c>
      <c r="E675" s="67">
        <v>2.41</v>
      </c>
      <c r="F675" s="67">
        <v>15.89</v>
      </c>
      <c r="G675" s="67">
        <v>92</v>
      </c>
      <c r="H675" s="67">
        <v>0</v>
      </c>
    </row>
    <row r="676" spans="1:8" ht="264.75" customHeight="1" thickBot="1">
      <c r="A676" s="47">
        <v>20</v>
      </c>
      <c r="B676" s="24" t="s">
        <v>232</v>
      </c>
      <c r="C676" s="53" t="s">
        <v>241</v>
      </c>
      <c r="D676" s="52">
        <v>0</v>
      </c>
      <c r="E676" s="52">
        <v>0</v>
      </c>
      <c r="F676" s="52">
        <v>22.71</v>
      </c>
      <c r="G676" s="52">
        <v>87.5</v>
      </c>
      <c r="H676" s="52">
        <v>0</v>
      </c>
    </row>
    <row r="677" spans="1:8" ht="177.75" thickBot="1">
      <c r="A677" s="47" t="s">
        <v>32</v>
      </c>
      <c r="B677" s="24" t="s">
        <v>56</v>
      </c>
      <c r="C677" s="34">
        <v>20</v>
      </c>
      <c r="D677" s="52">
        <v>1.6</v>
      </c>
      <c r="E677" s="52">
        <v>0.2</v>
      </c>
      <c r="F677" s="52">
        <v>9.64</v>
      </c>
      <c r="G677" s="52">
        <v>47.2</v>
      </c>
      <c r="H677" s="52">
        <v>0</v>
      </c>
    </row>
    <row r="678" spans="1:8" ht="177.75" thickBot="1">
      <c r="A678" s="47" t="s">
        <v>32</v>
      </c>
      <c r="B678" s="24" t="s">
        <v>58</v>
      </c>
      <c r="C678" s="34">
        <v>40</v>
      </c>
      <c r="D678" s="52">
        <v>2.24</v>
      </c>
      <c r="E678" s="52">
        <v>0.48</v>
      </c>
      <c r="F678" s="52">
        <v>19.76</v>
      </c>
      <c r="G678" s="52">
        <v>92.8</v>
      </c>
      <c r="H678" s="52">
        <v>0</v>
      </c>
    </row>
    <row r="679" spans="1:8" ht="89.25" thickBot="1">
      <c r="A679" s="54"/>
      <c r="B679" s="26" t="s">
        <v>29</v>
      </c>
      <c r="C679" s="34">
        <f aca="true" t="shared" si="47" ref="C679:H679">C672+C673+C674+C675+C676+C677+C678</f>
        <v>520</v>
      </c>
      <c r="D679" s="48">
        <f t="shared" si="47"/>
        <v>15.96</v>
      </c>
      <c r="E679" s="48">
        <f t="shared" si="47"/>
        <v>13.51</v>
      </c>
      <c r="F679" s="48">
        <f t="shared" si="47"/>
        <v>80.53</v>
      </c>
      <c r="G679" s="48">
        <f t="shared" si="47"/>
        <v>556.1</v>
      </c>
      <c r="H679" s="48">
        <f t="shared" si="47"/>
        <v>7.64</v>
      </c>
    </row>
    <row r="680" spans="1:8" ht="89.25" thickBot="1">
      <c r="A680" s="172" t="s">
        <v>145</v>
      </c>
      <c r="B680" s="173"/>
      <c r="C680" s="173"/>
      <c r="D680" s="173"/>
      <c r="E680" s="173"/>
      <c r="F680" s="173"/>
      <c r="G680" s="173"/>
      <c r="H680" s="174"/>
    </row>
    <row r="681" spans="1:8" ht="186" customHeight="1" thickBot="1">
      <c r="A681" s="55">
        <v>21.1</v>
      </c>
      <c r="B681" s="56" t="s">
        <v>172</v>
      </c>
      <c r="C681" s="51" t="s">
        <v>27</v>
      </c>
      <c r="D681" s="48">
        <v>4.35</v>
      </c>
      <c r="E681" s="48">
        <v>4.8</v>
      </c>
      <c r="F681" s="48">
        <v>6</v>
      </c>
      <c r="G681" s="48">
        <v>88.5</v>
      </c>
      <c r="H681" s="48">
        <v>1.05</v>
      </c>
    </row>
    <row r="682" spans="1:8" ht="266.25" thickBot="1">
      <c r="A682" s="47">
        <v>24</v>
      </c>
      <c r="B682" s="24" t="s">
        <v>104</v>
      </c>
      <c r="C682" s="51" t="s">
        <v>155</v>
      </c>
      <c r="D682" s="52">
        <v>0.9</v>
      </c>
      <c r="E682" s="52">
        <v>1.17</v>
      </c>
      <c r="F682" s="52">
        <v>21</v>
      </c>
      <c r="G682" s="52">
        <v>86.33</v>
      </c>
      <c r="H682" s="52">
        <v>0</v>
      </c>
    </row>
    <row r="683" spans="1:8" ht="89.25" thickBot="1">
      <c r="A683" s="54"/>
      <c r="B683" s="24" t="s">
        <v>29</v>
      </c>
      <c r="C683" s="34">
        <f aca="true" t="shared" si="48" ref="C683:H683">C681+C682</f>
        <v>180</v>
      </c>
      <c r="D683" s="52">
        <f t="shared" si="48"/>
        <v>5.25</v>
      </c>
      <c r="E683" s="52">
        <f t="shared" si="48"/>
        <v>5.97</v>
      </c>
      <c r="F683" s="52">
        <f t="shared" si="48"/>
        <v>27</v>
      </c>
      <c r="G683" s="52">
        <f t="shared" si="48"/>
        <v>174.82999999999998</v>
      </c>
      <c r="H683" s="52">
        <f t="shared" si="48"/>
        <v>1.05</v>
      </c>
    </row>
    <row r="684" spans="1:8" ht="89.25" thickBot="1">
      <c r="A684" s="172" t="s">
        <v>144</v>
      </c>
      <c r="B684" s="173"/>
      <c r="C684" s="173"/>
      <c r="D684" s="173"/>
      <c r="E684" s="173"/>
      <c r="F684" s="173"/>
      <c r="G684" s="173"/>
      <c r="H684" s="174"/>
    </row>
    <row r="685" spans="1:8" ht="89.25" thickBot="1">
      <c r="A685" s="47">
        <v>73</v>
      </c>
      <c r="B685" s="24" t="s">
        <v>212</v>
      </c>
      <c r="C685" s="53" t="s">
        <v>234</v>
      </c>
      <c r="D685" s="52">
        <v>7.68</v>
      </c>
      <c r="E685" s="52">
        <v>10.08</v>
      </c>
      <c r="F685" s="52">
        <v>23.01</v>
      </c>
      <c r="G685" s="52">
        <v>244</v>
      </c>
      <c r="H685" s="52">
        <v>18.16</v>
      </c>
    </row>
    <row r="686" spans="1:8" ht="177.75" thickBot="1">
      <c r="A686" s="47" t="s">
        <v>32</v>
      </c>
      <c r="B686" s="24" t="s">
        <v>56</v>
      </c>
      <c r="C686" s="34">
        <v>15</v>
      </c>
      <c r="D686" s="52">
        <v>1.2</v>
      </c>
      <c r="E686" s="52">
        <v>0.15</v>
      </c>
      <c r="F686" s="52">
        <v>7.23</v>
      </c>
      <c r="G686" s="52">
        <v>35.4</v>
      </c>
      <c r="H686" s="52">
        <v>0</v>
      </c>
    </row>
    <row r="687" spans="1:8" ht="177.75" thickBot="1">
      <c r="A687" s="47">
        <v>69</v>
      </c>
      <c r="B687" s="24" t="s">
        <v>106</v>
      </c>
      <c r="C687" s="51" t="s">
        <v>253</v>
      </c>
      <c r="D687" s="52">
        <v>0.34</v>
      </c>
      <c r="E687" s="52">
        <v>0.34</v>
      </c>
      <c r="F687" s="52">
        <v>8.33</v>
      </c>
      <c r="G687" s="52">
        <v>39.95</v>
      </c>
      <c r="H687" s="52">
        <v>8.5</v>
      </c>
    </row>
    <row r="688" spans="1:8" ht="177.75" thickBot="1">
      <c r="A688" s="47">
        <v>2</v>
      </c>
      <c r="B688" s="24" t="s">
        <v>69</v>
      </c>
      <c r="C688" s="34">
        <v>180</v>
      </c>
      <c r="D688" s="48">
        <v>2.92</v>
      </c>
      <c r="E688" s="48">
        <v>3.08</v>
      </c>
      <c r="F688" s="48">
        <v>12.41</v>
      </c>
      <c r="G688" s="48">
        <v>86</v>
      </c>
      <c r="H688" s="48">
        <v>1.17</v>
      </c>
    </row>
    <row r="689" spans="1:8" ht="89.25" thickBot="1">
      <c r="A689" s="42"/>
      <c r="B689" s="24" t="s">
        <v>6</v>
      </c>
      <c r="C689" s="34">
        <f aca="true" t="shared" si="49" ref="C689:H689">C685+C686+C687+C688</f>
        <v>533</v>
      </c>
      <c r="D689" s="52">
        <f t="shared" si="49"/>
        <v>12.139999999999999</v>
      </c>
      <c r="E689" s="52">
        <f t="shared" si="49"/>
        <v>13.65</v>
      </c>
      <c r="F689" s="52">
        <f t="shared" si="49"/>
        <v>50.980000000000004</v>
      </c>
      <c r="G689" s="52">
        <f t="shared" si="49"/>
        <v>405.34999999999997</v>
      </c>
      <c r="H689" s="52">
        <f t="shared" si="49"/>
        <v>27.83</v>
      </c>
    </row>
    <row r="690" spans="1:8" ht="89.25" thickBot="1">
      <c r="A690" s="47"/>
      <c r="B690" s="24"/>
      <c r="C690" s="51"/>
      <c r="D690" s="40" t="s">
        <v>0</v>
      </c>
      <c r="E690" s="41" t="s">
        <v>1</v>
      </c>
      <c r="F690" s="41" t="s">
        <v>2</v>
      </c>
      <c r="G690" s="149" t="s">
        <v>3</v>
      </c>
      <c r="H690" s="41" t="s">
        <v>4</v>
      </c>
    </row>
    <row r="691" spans="1:8" ht="89.25" thickBot="1">
      <c r="A691" s="47"/>
      <c r="B691" s="58" t="s">
        <v>10</v>
      </c>
      <c r="C691" s="51"/>
      <c r="D691" s="52">
        <f>D667+D670+D679+D689+D683</f>
        <v>38.72</v>
      </c>
      <c r="E691" s="52">
        <f>E667+E670+E679+E689+E683</f>
        <v>44.86</v>
      </c>
      <c r="F691" s="52">
        <f>F667+F670+F679+F689+F683</f>
        <v>233.10000000000002</v>
      </c>
      <c r="G691" s="52">
        <f>G667+G670+G679+G689+G683</f>
        <v>1562.9299999999998</v>
      </c>
      <c r="H691" s="52">
        <f>H667+H670+H679+H689+H683</f>
        <v>38.63999999999999</v>
      </c>
    </row>
    <row r="692" spans="1:8" ht="101.25" customHeight="1" thickBot="1">
      <c r="A692" s="47"/>
      <c r="B692" s="58" t="s">
        <v>11</v>
      </c>
      <c r="C692" s="51"/>
      <c r="D692" s="52">
        <v>42</v>
      </c>
      <c r="E692" s="52">
        <v>47</v>
      </c>
      <c r="F692" s="52">
        <v>203</v>
      </c>
      <c r="G692" s="52">
        <v>1400</v>
      </c>
      <c r="H692" s="52">
        <v>45</v>
      </c>
    </row>
    <row r="693" spans="1:8" ht="190.5" customHeight="1" thickBot="1">
      <c r="A693" s="42"/>
      <c r="B693" s="59" t="s">
        <v>12</v>
      </c>
      <c r="C693" s="41"/>
      <c r="D693" s="60">
        <f>D691*100/D692</f>
        <v>92.19047619047619</v>
      </c>
      <c r="E693" s="60">
        <f>E691*100/E692</f>
        <v>95.44680851063829</v>
      </c>
      <c r="F693" s="60">
        <f>F691*100/F692</f>
        <v>114.82758620689657</v>
      </c>
      <c r="G693" s="60">
        <f>G691*100/G692</f>
        <v>111.63785714285713</v>
      </c>
      <c r="H693" s="60">
        <f>H691*100/H692</f>
        <v>85.86666666666666</v>
      </c>
    </row>
    <row r="694" spans="1:8" ht="88.5">
      <c r="A694" s="61"/>
      <c r="B694" s="147"/>
      <c r="C694" s="146"/>
      <c r="D694" s="62"/>
      <c r="E694" s="62"/>
      <c r="F694" s="62"/>
      <c r="G694" s="62"/>
      <c r="H694" s="62"/>
    </row>
    <row r="695" spans="1:8" ht="88.5">
      <c r="A695" s="61"/>
      <c r="B695" s="38" t="s">
        <v>68</v>
      </c>
      <c r="C695" s="38"/>
      <c r="E695" s="62"/>
      <c r="F695" s="62"/>
      <c r="G695" s="62"/>
      <c r="H695" s="62"/>
    </row>
    <row r="696" spans="1:2" ht="102">
      <c r="A696" s="61"/>
      <c r="B696" s="38" t="s">
        <v>271</v>
      </c>
    </row>
    <row r="697" spans="1:2" ht="88.5">
      <c r="A697" s="61"/>
      <c r="B697" s="38" t="s">
        <v>67</v>
      </c>
    </row>
    <row r="698" spans="1:2" ht="88.5">
      <c r="A698" s="61"/>
      <c r="B698" s="38" t="s">
        <v>149</v>
      </c>
    </row>
    <row r="699" spans="1:8" ht="88.5">
      <c r="A699" s="175" t="s">
        <v>190</v>
      </c>
      <c r="B699" s="175"/>
      <c r="C699" s="175"/>
      <c r="D699" s="175"/>
      <c r="E699" s="175"/>
      <c r="F699" s="175"/>
      <c r="G699" s="175"/>
      <c r="H699" s="175"/>
    </row>
    <row r="700" spans="1:8" ht="88.5">
      <c r="A700" s="175" t="s">
        <v>52</v>
      </c>
      <c r="B700" s="175"/>
      <c r="C700" s="175"/>
      <c r="D700" s="175"/>
      <c r="E700" s="175"/>
      <c r="F700" s="175"/>
      <c r="G700" s="175"/>
      <c r="H700" s="175"/>
    </row>
    <row r="701" spans="1:8" ht="88.5">
      <c r="A701" s="176" t="s">
        <v>64</v>
      </c>
      <c r="B701" s="176"/>
      <c r="C701" s="176"/>
      <c r="D701" s="176"/>
      <c r="E701" s="176"/>
      <c r="F701" s="176"/>
      <c r="G701" s="176"/>
      <c r="H701" s="176"/>
    </row>
    <row r="702" spans="1:8" ht="89.25" thickBot="1">
      <c r="A702" s="177"/>
      <c r="B702" s="177"/>
      <c r="C702" s="177"/>
      <c r="D702" s="177"/>
      <c r="E702" s="177"/>
      <c r="F702" s="177"/>
      <c r="G702" s="177"/>
      <c r="H702" s="177"/>
    </row>
    <row r="703" spans="1:8" ht="89.25" thickBot="1">
      <c r="A703" s="178" t="s">
        <v>30</v>
      </c>
      <c r="B703" s="180" t="s">
        <v>50</v>
      </c>
      <c r="C703" s="183" t="s">
        <v>111</v>
      </c>
      <c r="D703" s="172" t="s">
        <v>24</v>
      </c>
      <c r="E703" s="173"/>
      <c r="F703" s="174"/>
      <c r="G703" s="180" t="s">
        <v>51</v>
      </c>
      <c r="H703" s="180" t="s">
        <v>112</v>
      </c>
    </row>
    <row r="704" spans="1:8" ht="89.25" thickBot="1">
      <c r="A704" s="179"/>
      <c r="B704" s="181"/>
      <c r="C704" s="184"/>
      <c r="D704" s="40" t="s">
        <v>0</v>
      </c>
      <c r="E704" s="41" t="s">
        <v>1</v>
      </c>
      <c r="F704" s="41" t="s">
        <v>2</v>
      </c>
      <c r="G704" s="181"/>
      <c r="H704" s="181"/>
    </row>
    <row r="705" spans="1:8" ht="89.25" thickBot="1">
      <c r="A705" s="148">
        <v>1</v>
      </c>
      <c r="B705" s="43">
        <v>2</v>
      </c>
      <c r="C705" s="44">
        <v>3</v>
      </c>
      <c r="D705" s="63">
        <v>4</v>
      </c>
      <c r="E705" s="43">
        <v>5</v>
      </c>
      <c r="F705" s="43">
        <v>6</v>
      </c>
      <c r="G705" s="43">
        <v>7</v>
      </c>
      <c r="H705" s="43">
        <v>8</v>
      </c>
    </row>
    <row r="706" spans="1:8" ht="89.25" thickBot="1">
      <c r="A706" s="172" t="s">
        <v>5</v>
      </c>
      <c r="B706" s="173"/>
      <c r="C706" s="173"/>
      <c r="D706" s="173"/>
      <c r="E706" s="173"/>
      <c r="F706" s="173"/>
      <c r="G706" s="173"/>
      <c r="H706" s="174"/>
    </row>
    <row r="707" spans="1:8" ht="177.75" thickBot="1">
      <c r="A707" s="54">
        <v>32</v>
      </c>
      <c r="B707" s="26" t="s">
        <v>218</v>
      </c>
      <c r="C707" s="34">
        <v>150</v>
      </c>
      <c r="D707" s="48">
        <v>5.62</v>
      </c>
      <c r="E707" s="48">
        <v>5.96</v>
      </c>
      <c r="F707" s="48">
        <v>23.88</v>
      </c>
      <c r="G707" s="48">
        <v>170</v>
      </c>
      <c r="H707" s="48">
        <v>1.77</v>
      </c>
    </row>
    <row r="708" spans="1:8" ht="89.25" thickBot="1">
      <c r="A708" s="54">
        <v>15</v>
      </c>
      <c r="B708" s="50" t="s">
        <v>224</v>
      </c>
      <c r="C708" s="34">
        <v>180</v>
      </c>
      <c r="D708" s="52">
        <v>2.79</v>
      </c>
      <c r="E708" s="52">
        <v>3.04</v>
      </c>
      <c r="F708" s="52">
        <v>12.32</v>
      </c>
      <c r="G708" s="52">
        <v>87</v>
      </c>
      <c r="H708" s="52">
        <v>1.17</v>
      </c>
    </row>
    <row r="709" spans="1:8" ht="89.25" thickBot="1">
      <c r="A709" s="47">
        <v>16</v>
      </c>
      <c r="B709" s="24" t="s">
        <v>36</v>
      </c>
      <c r="C709" s="53" t="s">
        <v>240</v>
      </c>
      <c r="D709" s="52">
        <v>1.56</v>
      </c>
      <c r="E709" s="52">
        <v>3.73</v>
      </c>
      <c r="F709" s="52">
        <v>9.9</v>
      </c>
      <c r="G709" s="52">
        <v>79</v>
      </c>
      <c r="H709" s="52">
        <v>0</v>
      </c>
    </row>
    <row r="710" spans="1:8" ht="89.25" thickBot="1">
      <c r="A710" s="47"/>
      <c r="B710" s="24" t="s">
        <v>6</v>
      </c>
      <c r="C710" s="34">
        <f>C707+C708+C709</f>
        <v>355</v>
      </c>
      <c r="D710" s="52">
        <f>SUM(D707:D709)</f>
        <v>9.97</v>
      </c>
      <c r="E710" s="52">
        <f>SUM(E707+E708+E709)</f>
        <v>12.73</v>
      </c>
      <c r="F710" s="52">
        <f>SUM(F707+F708+F709)</f>
        <v>46.1</v>
      </c>
      <c r="G710" s="52">
        <f>SUM(G707+G708+G709)</f>
        <v>336</v>
      </c>
      <c r="H710" s="52">
        <f>SUM(H707+H708+H709)</f>
        <v>2.94</v>
      </c>
    </row>
    <row r="711" spans="1:8" ht="89.25" thickBot="1">
      <c r="A711" s="172" t="s">
        <v>53</v>
      </c>
      <c r="B711" s="173"/>
      <c r="C711" s="173"/>
      <c r="D711" s="173"/>
      <c r="E711" s="173"/>
      <c r="F711" s="173"/>
      <c r="G711" s="173"/>
      <c r="H711" s="174"/>
    </row>
    <row r="712" spans="1:8" ht="89.25" thickBot="1">
      <c r="A712" s="47" t="s">
        <v>32</v>
      </c>
      <c r="B712" s="24" t="s">
        <v>182</v>
      </c>
      <c r="C712" s="53" t="s">
        <v>26</v>
      </c>
      <c r="D712" s="52">
        <v>0.2</v>
      </c>
      <c r="E712" s="52">
        <v>0.11</v>
      </c>
      <c r="F712" s="52">
        <v>10.11</v>
      </c>
      <c r="G712" s="52">
        <v>46</v>
      </c>
      <c r="H712" s="52">
        <v>2</v>
      </c>
    </row>
    <row r="713" spans="1:8" ht="89.25" thickBot="1">
      <c r="A713" s="47"/>
      <c r="B713" s="24" t="s">
        <v>6</v>
      </c>
      <c r="C713" s="51" t="s">
        <v>26</v>
      </c>
      <c r="D713" s="52">
        <f>SUM(D712)</f>
        <v>0.2</v>
      </c>
      <c r="E713" s="52">
        <f>SUM(E712)</f>
        <v>0.11</v>
      </c>
      <c r="F713" s="52">
        <f>SUM(F712)</f>
        <v>10.11</v>
      </c>
      <c r="G713" s="52">
        <f>SUM(G712)</f>
        <v>46</v>
      </c>
      <c r="H713" s="52">
        <f>SUM(H712)</f>
        <v>2</v>
      </c>
    </row>
    <row r="714" spans="1:8" ht="89.25" thickBot="1">
      <c r="A714" s="172" t="s">
        <v>8</v>
      </c>
      <c r="B714" s="173"/>
      <c r="C714" s="173"/>
      <c r="D714" s="173"/>
      <c r="E714" s="173"/>
      <c r="F714" s="173"/>
      <c r="G714" s="173"/>
      <c r="H714" s="174"/>
    </row>
    <row r="715" spans="1:8" ht="177.75" thickBot="1">
      <c r="A715" s="54">
        <v>12</v>
      </c>
      <c r="B715" s="24" t="s">
        <v>227</v>
      </c>
      <c r="C715" s="34">
        <v>30</v>
      </c>
      <c r="D715" s="52">
        <v>0.47</v>
      </c>
      <c r="E715" s="52">
        <v>3</v>
      </c>
      <c r="F715" s="52">
        <v>3.1</v>
      </c>
      <c r="G715" s="52">
        <v>43.34</v>
      </c>
      <c r="H715" s="52">
        <v>1.34</v>
      </c>
    </row>
    <row r="716" spans="1:8" ht="266.25" thickBot="1">
      <c r="A716" s="47">
        <v>60</v>
      </c>
      <c r="B716" s="24" t="s">
        <v>208</v>
      </c>
      <c r="C716" s="53" t="s">
        <v>27</v>
      </c>
      <c r="D716" s="52">
        <v>3.9</v>
      </c>
      <c r="E716" s="52">
        <v>3.18</v>
      </c>
      <c r="F716" s="52">
        <v>8.72</v>
      </c>
      <c r="G716" s="52">
        <v>100.35</v>
      </c>
      <c r="H716" s="52">
        <v>6.32</v>
      </c>
    </row>
    <row r="717" spans="1:8" ht="177.75" thickBot="1">
      <c r="A717" s="54">
        <v>29</v>
      </c>
      <c r="B717" s="24" t="s">
        <v>163</v>
      </c>
      <c r="C717" s="51" t="s">
        <v>28</v>
      </c>
      <c r="D717" s="52">
        <v>7.8</v>
      </c>
      <c r="E717" s="52">
        <v>4.36</v>
      </c>
      <c r="F717" s="52">
        <v>28.33</v>
      </c>
      <c r="G717" s="52">
        <v>114</v>
      </c>
      <c r="H717" s="52">
        <v>0.41</v>
      </c>
    </row>
    <row r="718" spans="1:8" ht="89.25" thickBot="1">
      <c r="A718" s="54">
        <v>8</v>
      </c>
      <c r="B718" s="24" t="s">
        <v>37</v>
      </c>
      <c r="C718" s="34">
        <v>115</v>
      </c>
      <c r="D718" s="52">
        <v>2.33</v>
      </c>
      <c r="E718" s="52">
        <v>4.01</v>
      </c>
      <c r="F718" s="52">
        <v>13.85</v>
      </c>
      <c r="G718" s="52">
        <v>108.87</v>
      </c>
      <c r="H718" s="52">
        <v>8.05</v>
      </c>
    </row>
    <row r="719" spans="1:8" ht="177.75" thickBot="1">
      <c r="A719" s="47">
        <v>9</v>
      </c>
      <c r="B719" s="24" t="s">
        <v>43</v>
      </c>
      <c r="C719" s="34">
        <v>150</v>
      </c>
      <c r="D719" s="52">
        <v>0.33</v>
      </c>
      <c r="E719" s="52">
        <v>0</v>
      </c>
      <c r="F719" s="52">
        <v>16.67</v>
      </c>
      <c r="G719" s="52">
        <v>70</v>
      </c>
      <c r="H719" s="52">
        <v>0.3</v>
      </c>
    </row>
    <row r="720" spans="1:8" ht="177.75" thickBot="1">
      <c r="A720" s="47" t="s">
        <v>32</v>
      </c>
      <c r="B720" s="24" t="s">
        <v>56</v>
      </c>
      <c r="C720" s="34">
        <v>20</v>
      </c>
      <c r="D720" s="52">
        <v>1.6</v>
      </c>
      <c r="E720" s="52">
        <v>0.2</v>
      </c>
      <c r="F720" s="52">
        <v>9.64</v>
      </c>
      <c r="G720" s="52">
        <v>47.2</v>
      </c>
      <c r="H720" s="52">
        <v>0</v>
      </c>
    </row>
    <row r="721" spans="1:8" ht="177.75" thickBot="1">
      <c r="A721" s="47" t="s">
        <v>32</v>
      </c>
      <c r="B721" s="24" t="s">
        <v>58</v>
      </c>
      <c r="C721" s="34">
        <v>40</v>
      </c>
      <c r="D721" s="52">
        <v>2.24</v>
      </c>
      <c r="E721" s="52">
        <v>0.48</v>
      </c>
      <c r="F721" s="52">
        <v>19.76</v>
      </c>
      <c r="G721" s="52">
        <v>92.8</v>
      </c>
      <c r="H721" s="52">
        <v>0</v>
      </c>
    </row>
    <row r="722" spans="1:8" ht="89.25" thickBot="1">
      <c r="A722" s="54"/>
      <c r="B722" s="26" t="s">
        <v>29</v>
      </c>
      <c r="C722" s="34">
        <f aca="true" t="shared" si="50" ref="C722:H722">C715+C716+C717+C718+C719+C720+C721</f>
        <v>585</v>
      </c>
      <c r="D722" s="48">
        <f t="shared" si="50"/>
        <v>18.67</v>
      </c>
      <c r="E722" s="48">
        <f t="shared" si="50"/>
        <v>15.229999999999999</v>
      </c>
      <c r="F722" s="48">
        <f t="shared" si="50"/>
        <v>100.07000000000001</v>
      </c>
      <c r="G722" s="48">
        <f t="shared" si="50"/>
        <v>576.56</v>
      </c>
      <c r="H722" s="48">
        <f t="shared" si="50"/>
        <v>16.42</v>
      </c>
    </row>
    <row r="723" spans="1:8" ht="89.25" thickBot="1">
      <c r="A723" s="172" t="s">
        <v>145</v>
      </c>
      <c r="B723" s="173"/>
      <c r="C723" s="173"/>
      <c r="D723" s="173"/>
      <c r="E723" s="173"/>
      <c r="F723" s="173"/>
      <c r="G723" s="173"/>
      <c r="H723" s="174"/>
    </row>
    <row r="724" spans="1:8" ht="266.25" thickBot="1">
      <c r="A724" s="55">
        <v>21.1</v>
      </c>
      <c r="B724" s="56" t="s">
        <v>172</v>
      </c>
      <c r="C724" s="51" t="s">
        <v>27</v>
      </c>
      <c r="D724" s="48">
        <v>4.35</v>
      </c>
      <c r="E724" s="48">
        <v>4.8</v>
      </c>
      <c r="F724" s="48">
        <v>6</v>
      </c>
      <c r="G724" s="48">
        <v>88.5</v>
      </c>
      <c r="H724" s="48">
        <v>1.05</v>
      </c>
    </row>
    <row r="725" spans="1:8" ht="89.25" thickBot="1">
      <c r="A725" s="47">
        <v>11</v>
      </c>
      <c r="B725" s="24" t="s">
        <v>219</v>
      </c>
      <c r="C725" s="51" t="s">
        <v>34</v>
      </c>
      <c r="D725" s="52">
        <v>10.73</v>
      </c>
      <c r="E725" s="52">
        <v>13.03</v>
      </c>
      <c r="F725" s="52">
        <v>18.95</v>
      </c>
      <c r="G725" s="52">
        <v>245.14</v>
      </c>
      <c r="H725" s="52">
        <v>0.33</v>
      </c>
    </row>
    <row r="726" spans="1:8" ht="89.25" thickBot="1">
      <c r="A726" s="54"/>
      <c r="B726" s="24" t="s">
        <v>29</v>
      </c>
      <c r="C726" s="34">
        <f aca="true" t="shared" si="51" ref="C726:H726">C724+C725</f>
        <v>210</v>
      </c>
      <c r="D726" s="52">
        <f t="shared" si="51"/>
        <v>15.08</v>
      </c>
      <c r="E726" s="52">
        <f t="shared" si="51"/>
        <v>17.83</v>
      </c>
      <c r="F726" s="52">
        <f t="shared" si="51"/>
        <v>24.95</v>
      </c>
      <c r="G726" s="52">
        <f t="shared" si="51"/>
        <v>333.64</v>
      </c>
      <c r="H726" s="52">
        <f t="shared" si="51"/>
        <v>1.3800000000000001</v>
      </c>
    </row>
    <row r="727" spans="1:8" ht="89.25" thickBot="1">
      <c r="A727" s="172" t="s">
        <v>144</v>
      </c>
      <c r="B727" s="173"/>
      <c r="C727" s="173"/>
      <c r="D727" s="173"/>
      <c r="E727" s="173"/>
      <c r="F727" s="173"/>
      <c r="G727" s="173"/>
      <c r="H727" s="174"/>
    </row>
    <row r="728" spans="1:8" ht="177.75" thickBot="1">
      <c r="A728" s="54">
        <v>37</v>
      </c>
      <c r="B728" s="26" t="s">
        <v>35</v>
      </c>
      <c r="C728" s="34">
        <v>150</v>
      </c>
      <c r="D728" s="48">
        <v>11.73</v>
      </c>
      <c r="E728" s="48">
        <v>12.59</v>
      </c>
      <c r="F728" s="48">
        <v>0.03</v>
      </c>
      <c r="G728" s="48">
        <v>174</v>
      </c>
      <c r="H728" s="48">
        <v>0.95</v>
      </c>
    </row>
    <row r="729" spans="1:8" ht="89.25" thickBot="1">
      <c r="A729" s="47">
        <v>41</v>
      </c>
      <c r="B729" s="24" t="s">
        <v>101</v>
      </c>
      <c r="C729" s="53" t="s">
        <v>258</v>
      </c>
      <c r="D729" s="52">
        <v>0.48</v>
      </c>
      <c r="E729" s="52">
        <v>1.89</v>
      </c>
      <c r="F729" s="52">
        <v>3.09</v>
      </c>
      <c r="G729" s="52">
        <v>31.2</v>
      </c>
      <c r="H729" s="52">
        <v>3.84</v>
      </c>
    </row>
    <row r="730" spans="1:8" ht="177.75" thickBot="1">
      <c r="A730" s="47" t="s">
        <v>32</v>
      </c>
      <c r="B730" s="24" t="s">
        <v>56</v>
      </c>
      <c r="C730" s="34">
        <v>15</v>
      </c>
      <c r="D730" s="52">
        <v>1.2</v>
      </c>
      <c r="E730" s="52">
        <v>0.15</v>
      </c>
      <c r="F730" s="52">
        <v>7.23</v>
      </c>
      <c r="G730" s="52">
        <v>35.4</v>
      </c>
      <c r="H730" s="52">
        <v>0</v>
      </c>
    </row>
    <row r="731" spans="1:8" ht="89.25" thickBot="1">
      <c r="A731" s="54">
        <v>13</v>
      </c>
      <c r="B731" s="50" t="s">
        <v>7</v>
      </c>
      <c r="C731" s="34">
        <v>180</v>
      </c>
      <c r="D731" s="52">
        <v>0</v>
      </c>
      <c r="E731" s="52">
        <v>0</v>
      </c>
      <c r="F731" s="52">
        <v>10.78</v>
      </c>
      <c r="G731" s="52">
        <v>36</v>
      </c>
      <c r="H731" s="52">
        <v>0</v>
      </c>
    </row>
    <row r="732" spans="1:8" ht="177.75" thickBot="1">
      <c r="A732" s="47">
        <v>69</v>
      </c>
      <c r="B732" s="24" t="s">
        <v>106</v>
      </c>
      <c r="C732" s="51" t="s">
        <v>253</v>
      </c>
      <c r="D732" s="52">
        <v>0.34</v>
      </c>
      <c r="E732" s="52">
        <v>0.34</v>
      </c>
      <c r="F732" s="52">
        <v>8.33</v>
      </c>
      <c r="G732" s="52">
        <v>39.95</v>
      </c>
      <c r="H732" s="52">
        <v>8.5</v>
      </c>
    </row>
    <row r="733" spans="1:8" ht="89.25" thickBot="1">
      <c r="A733" s="47"/>
      <c r="B733" s="24" t="s">
        <v>29</v>
      </c>
      <c r="C733" s="34">
        <f aca="true" t="shared" si="52" ref="C733:H733">C728+C729+C730+C731+C732</f>
        <v>470</v>
      </c>
      <c r="D733" s="52">
        <f t="shared" si="52"/>
        <v>13.75</v>
      </c>
      <c r="E733" s="52">
        <f t="shared" si="52"/>
        <v>14.97</v>
      </c>
      <c r="F733" s="52">
        <f t="shared" si="52"/>
        <v>29.46</v>
      </c>
      <c r="G733" s="52">
        <f t="shared" si="52"/>
        <v>316.55</v>
      </c>
      <c r="H733" s="52">
        <f t="shared" si="52"/>
        <v>13.29</v>
      </c>
    </row>
    <row r="734" spans="1:8" ht="89.25" thickBot="1">
      <c r="A734" s="47"/>
      <c r="B734" s="24"/>
      <c r="C734" s="51"/>
      <c r="D734" s="40" t="s">
        <v>0</v>
      </c>
      <c r="E734" s="41" t="s">
        <v>1</v>
      </c>
      <c r="F734" s="41" t="s">
        <v>2</v>
      </c>
      <c r="G734" s="149" t="s">
        <v>3</v>
      </c>
      <c r="H734" s="41" t="s">
        <v>4</v>
      </c>
    </row>
    <row r="735" spans="1:8" ht="89.25" thickBot="1">
      <c r="A735" s="47"/>
      <c r="B735" s="58" t="s">
        <v>10</v>
      </c>
      <c r="C735" s="51"/>
      <c r="D735" s="52">
        <f>D710+D713+D722+D726+D733</f>
        <v>57.67</v>
      </c>
      <c r="E735" s="52">
        <f>E710+E713+E722+E726+E733</f>
        <v>60.87</v>
      </c>
      <c r="F735" s="52">
        <f>F710+F713+F722+F726+F733</f>
        <v>210.69</v>
      </c>
      <c r="G735" s="52">
        <f>G710+G713+G722+G726+G733</f>
        <v>1608.7499999999998</v>
      </c>
      <c r="H735" s="52">
        <f>H710+H713+H722+H726+H733</f>
        <v>36.03</v>
      </c>
    </row>
    <row r="736" spans="1:8" ht="176.25" thickBot="1">
      <c r="A736" s="68"/>
      <c r="B736" s="69" t="s">
        <v>11</v>
      </c>
      <c r="C736" s="70"/>
      <c r="D736" s="52">
        <v>42</v>
      </c>
      <c r="E736" s="52">
        <v>47</v>
      </c>
      <c r="F736" s="52">
        <v>203</v>
      </c>
      <c r="G736" s="52">
        <v>1400</v>
      </c>
      <c r="H736" s="52">
        <v>45</v>
      </c>
    </row>
    <row r="737" spans="1:8" ht="350.25" thickBot="1">
      <c r="A737" s="42"/>
      <c r="B737" s="59" t="s">
        <v>12</v>
      </c>
      <c r="C737" s="41"/>
      <c r="D737" s="60">
        <f>D735*100/D736</f>
        <v>137.3095238095238</v>
      </c>
      <c r="E737" s="60">
        <f>E735*100/E736</f>
        <v>129.51063829787233</v>
      </c>
      <c r="F737" s="60">
        <f>F735*100/F736</f>
        <v>103.78817733990148</v>
      </c>
      <c r="G737" s="60">
        <f>G735*100/G736</f>
        <v>114.91071428571426</v>
      </c>
      <c r="H737" s="60">
        <f>H735*100/H736</f>
        <v>80.06666666666666</v>
      </c>
    </row>
    <row r="738" spans="1:8" ht="88.5">
      <c r="A738" s="61"/>
      <c r="B738" s="147"/>
      <c r="C738" s="146"/>
      <c r="D738" s="62"/>
      <c r="E738" s="62"/>
      <c r="F738" s="62"/>
      <c r="G738" s="62"/>
      <c r="H738" s="62"/>
    </row>
    <row r="739" spans="1:8" ht="88.5">
      <c r="A739" s="61"/>
      <c r="B739" s="38" t="s">
        <v>68</v>
      </c>
      <c r="C739" s="38"/>
      <c r="E739" s="62"/>
      <c r="F739" s="62"/>
      <c r="G739" s="62"/>
      <c r="H739" s="62"/>
    </row>
    <row r="740" spans="1:8" ht="102">
      <c r="A740" s="61"/>
      <c r="B740" s="71" t="s">
        <v>271</v>
      </c>
      <c r="C740" s="78"/>
      <c r="D740" s="71"/>
      <c r="E740" s="71"/>
      <c r="F740" s="71"/>
      <c r="G740" s="71"/>
      <c r="H740" s="71"/>
    </row>
    <row r="741" spans="1:8" ht="88.5">
      <c r="A741" s="61"/>
      <c r="B741" s="71" t="s">
        <v>67</v>
      </c>
      <c r="C741" s="78"/>
      <c r="D741" s="71"/>
      <c r="E741" s="71"/>
      <c r="F741" s="71"/>
      <c r="G741" s="71"/>
      <c r="H741" s="71"/>
    </row>
    <row r="742" spans="1:8" ht="88.5">
      <c r="A742" s="61"/>
      <c r="B742" s="71" t="s">
        <v>149</v>
      </c>
      <c r="C742" s="78"/>
      <c r="D742" s="71"/>
      <c r="E742" s="71"/>
      <c r="F742" s="71"/>
      <c r="G742" s="71"/>
      <c r="H742" s="71"/>
    </row>
    <row r="743" spans="1:8" ht="88.5">
      <c r="A743" s="175" t="s">
        <v>194</v>
      </c>
      <c r="B743" s="175"/>
      <c r="C743" s="175"/>
      <c r="D743" s="175"/>
      <c r="E743" s="175"/>
      <c r="F743" s="175"/>
      <c r="G743" s="175"/>
      <c r="H743" s="175"/>
    </row>
    <row r="744" spans="1:8" ht="88.5">
      <c r="A744" s="175" t="s">
        <v>52</v>
      </c>
      <c r="B744" s="175"/>
      <c r="C744" s="175"/>
      <c r="D744" s="175"/>
      <c r="E744" s="175"/>
      <c r="F744" s="175"/>
      <c r="G744" s="175"/>
      <c r="H744" s="175"/>
    </row>
    <row r="745" spans="1:8" ht="88.5">
      <c r="A745" s="176" t="s">
        <v>64</v>
      </c>
      <c r="B745" s="176"/>
      <c r="C745" s="176"/>
      <c r="D745" s="176"/>
      <c r="E745" s="176"/>
      <c r="F745" s="176"/>
      <c r="G745" s="176"/>
      <c r="H745" s="176"/>
    </row>
    <row r="746" spans="1:8" ht="89.25" thickBot="1">
      <c r="A746" s="177"/>
      <c r="B746" s="177"/>
      <c r="C746" s="177"/>
      <c r="D746" s="177"/>
      <c r="E746" s="177"/>
      <c r="F746" s="177"/>
      <c r="G746" s="177"/>
      <c r="H746" s="177"/>
    </row>
    <row r="747" spans="1:8" ht="89.25" thickBot="1">
      <c r="A747" s="178" t="s">
        <v>30</v>
      </c>
      <c r="B747" s="180" t="s">
        <v>50</v>
      </c>
      <c r="C747" s="183" t="s">
        <v>111</v>
      </c>
      <c r="D747" s="172" t="s">
        <v>24</v>
      </c>
      <c r="E747" s="173"/>
      <c r="F747" s="174"/>
      <c r="G747" s="180" t="s">
        <v>51</v>
      </c>
      <c r="H747" s="180" t="s">
        <v>112</v>
      </c>
    </row>
    <row r="748" spans="1:8" ht="89.25" thickBot="1">
      <c r="A748" s="179"/>
      <c r="B748" s="181"/>
      <c r="C748" s="184"/>
      <c r="D748" s="40" t="s">
        <v>0</v>
      </c>
      <c r="E748" s="41" t="s">
        <v>1</v>
      </c>
      <c r="F748" s="41" t="s">
        <v>2</v>
      </c>
      <c r="G748" s="181"/>
      <c r="H748" s="181"/>
    </row>
    <row r="749" spans="1:8" ht="89.25" thickBot="1">
      <c r="A749" s="148">
        <v>1</v>
      </c>
      <c r="B749" s="43">
        <v>2</v>
      </c>
      <c r="C749" s="44">
        <v>3</v>
      </c>
      <c r="D749" s="63">
        <v>4</v>
      </c>
      <c r="E749" s="43">
        <v>5</v>
      </c>
      <c r="F749" s="43">
        <v>6</v>
      </c>
      <c r="G749" s="43">
        <v>7</v>
      </c>
      <c r="H749" s="43">
        <v>8</v>
      </c>
    </row>
    <row r="750" spans="1:8" ht="89.25" thickBot="1">
      <c r="A750" s="172" t="s">
        <v>5</v>
      </c>
      <c r="B750" s="173"/>
      <c r="C750" s="173"/>
      <c r="D750" s="173"/>
      <c r="E750" s="173"/>
      <c r="F750" s="173"/>
      <c r="G750" s="173"/>
      <c r="H750" s="174"/>
    </row>
    <row r="751" spans="1:8" ht="89.25" thickBot="1">
      <c r="A751" s="47">
        <v>14</v>
      </c>
      <c r="B751" s="26" t="s">
        <v>176</v>
      </c>
      <c r="C751" s="34">
        <v>150</v>
      </c>
      <c r="D751" s="52">
        <v>5.32</v>
      </c>
      <c r="E751" s="52">
        <v>5.58</v>
      </c>
      <c r="F751" s="52">
        <v>25.12</v>
      </c>
      <c r="G751" s="60">
        <v>170</v>
      </c>
      <c r="H751" s="60">
        <v>1.47</v>
      </c>
    </row>
    <row r="752" spans="1:8" ht="177.75" thickBot="1">
      <c r="A752" s="47">
        <v>2</v>
      </c>
      <c r="B752" s="24" t="s">
        <v>69</v>
      </c>
      <c r="C752" s="34">
        <v>180</v>
      </c>
      <c r="D752" s="48">
        <v>2.92</v>
      </c>
      <c r="E752" s="48">
        <v>3.08</v>
      </c>
      <c r="F752" s="48">
        <v>12.41</v>
      </c>
      <c r="G752" s="48">
        <v>86</v>
      </c>
      <c r="H752" s="48">
        <v>1.17</v>
      </c>
    </row>
    <row r="753" spans="1:8" ht="177.75" thickBot="1">
      <c r="A753" s="47">
        <v>3</v>
      </c>
      <c r="B753" s="24" t="s">
        <v>38</v>
      </c>
      <c r="C753" s="51" t="s">
        <v>259</v>
      </c>
      <c r="D753" s="52">
        <v>3.42</v>
      </c>
      <c r="E753" s="52">
        <v>6.09</v>
      </c>
      <c r="F753" s="52">
        <v>9.9</v>
      </c>
      <c r="G753" s="52">
        <v>108</v>
      </c>
      <c r="H753" s="52">
        <v>0.06</v>
      </c>
    </row>
    <row r="754" spans="1:8" ht="89.25" thickBot="1">
      <c r="A754" s="47"/>
      <c r="B754" s="24" t="s">
        <v>6</v>
      </c>
      <c r="C754" s="35">
        <f aca="true" t="shared" si="53" ref="C754:H754">C751+C752+C753</f>
        <v>363</v>
      </c>
      <c r="D754" s="52">
        <f t="shared" si="53"/>
        <v>11.66</v>
      </c>
      <c r="E754" s="52">
        <f t="shared" si="53"/>
        <v>14.75</v>
      </c>
      <c r="F754" s="52">
        <f t="shared" si="53"/>
        <v>47.43</v>
      </c>
      <c r="G754" s="52">
        <f t="shared" si="53"/>
        <v>364</v>
      </c>
      <c r="H754" s="52">
        <f t="shared" si="53"/>
        <v>2.6999999999999997</v>
      </c>
    </row>
    <row r="755" spans="1:8" ht="89.25" thickBot="1">
      <c r="A755" s="172" t="s">
        <v>53</v>
      </c>
      <c r="B755" s="173"/>
      <c r="C755" s="173"/>
      <c r="D755" s="173"/>
      <c r="E755" s="173"/>
      <c r="F755" s="173"/>
      <c r="G755" s="173"/>
      <c r="H755" s="174"/>
    </row>
    <row r="756" spans="1:8" ht="89.25" thickBot="1">
      <c r="A756" s="47" t="s">
        <v>32</v>
      </c>
      <c r="B756" s="24" t="s">
        <v>182</v>
      </c>
      <c r="C756" s="53" t="s">
        <v>26</v>
      </c>
      <c r="D756" s="52">
        <v>0.2</v>
      </c>
      <c r="E756" s="52">
        <v>0.11</v>
      </c>
      <c r="F756" s="52">
        <v>10.11</v>
      </c>
      <c r="G756" s="52">
        <v>46</v>
      </c>
      <c r="H756" s="52">
        <v>2</v>
      </c>
    </row>
    <row r="757" spans="1:8" ht="89.25" thickBot="1">
      <c r="A757" s="47"/>
      <c r="B757" s="24" t="s">
        <v>6</v>
      </c>
      <c r="C757" s="51" t="s">
        <v>26</v>
      </c>
      <c r="D757" s="52">
        <f>SUM(D756)</f>
        <v>0.2</v>
      </c>
      <c r="E757" s="52">
        <f>SUM(E756)</f>
        <v>0.11</v>
      </c>
      <c r="F757" s="52">
        <f>SUM(F756)</f>
        <v>10.11</v>
      </c>
      <c r="G757" s="52">
        <f>SUM(G756)</f>
        <v>46</v>
      </c>
      <c r="H757" s="52">
        <f>SUM(H756)</f>
        <v>2</v>
      </c>
    </row>
    <row r="758" spans="1:8" ht="89.25" thickBot="1">
      <c r="A758" s="172" t="s">
        <v>8</v>
      </c>
      <c r="B758" s="173"/>
      <c r="C758" s="173"/>
      <c r="D758" s="173"/>
      <c r="E758" s="173"/>
      <c r="F758" s="173"/>
      <c r="G758" s="173"/>
      <c r="H758" s="174"/>
    </row>
    <row r="759" spans="1:8" ht="266.25" thickBot="1">
      <c r="A759" s="54">
        <v>38</v>
      </c>
      <c r="B759" s="24" t="s">
        <v>268</v>
      </c>
      <c r="C759" s="34">
        <v>35</v>
      </c>
      <c r="D759" s="52">
        <v>1.75</v>
      </c>
      <c r="E759" s="52">
        <v>0.07</v>
      </c>
      <c r="F759" s="52">
        <v>2.91</v>
      </c>
      <c r="G759" s="52">
        <v>19.25</v>
      </c>
      <c r="H759" s="52">
        <v>3.5</v>
      </c>
    </row>
    <row r="760" spans="1:8" ht="266.25" thickBot="1">
      <c r="A760" s="47">
        <v>34</v>
      </c>
      <c r="B760" s="24" t="s">
        <v>177</v>
      </c>
      <c r="C760" s="51" t="s">
        <v>27</v>
      </c>
      <c r="D760" s="52">
        <v>2.54</v>
      </c>
      <c r="E760" s="52">
        <v>3.9</v>
      </c>
      <c r="F760" s="52">
        <v>8.27</v>
      </c>
      <c r="G760" s="52">
        <v>87.08</v>
      </c>
      <c r="H760" s="52">
        <v>5.98</v>
      </c>
    </row>
    <row r="761" spans="1:8" ht="177.75" thickBot="1">
      <c r="A761" s="54">
        <v>33</v>
      </c>
      <c r="B761" s="24" t="s">
        <v>245</v>
      </c>
      <c r="C761" s="51" t="s">
        <v>59</v>
      </c>
      <c r="D761" s="52">
        <v>11.22</v>
      </c>
      <c r="E761" s="52">
        <v>9.36</v>
      </c>
      <c r="F761" s="52">
        <v>6.89</v>
      </c>
      <c r="G761" s="52">
        <v>166</v>
      </c>
      <c r="H761" s="52">
        <v>0.36</v>
      </c>
    </row>
    <row r="762" spans="1:8" ht="112.5" customHeight="1" thickBot="1">
      <c r="A762" s="47">
        <v>7</v>
      </c>
      <c r="B762" s="65" t="s">
        <v>66</v>
      </c>
      <c r="C762" s="34">
        <v>20</v>
      </c>
      <c r="D762" s="52">
        <v>0.28</v>
      </c>
      <c r="E762" s="52">
        <v>0.78</v>
      </c>
      <c r="F762" s="52">
        <v>1.24</v>
      </c>
      <c r="G762" s="52">
        <v>12.4</v>
      </c>
      <c r="H762" s="52">
        <v>0</v>
      </c>
    </row>
    <row r="763" spans="1:8" ht="89.25" thickBot="1">
      <c r="A763" s="47">
        <v>65</v>
      </c>
      <c r="B763" s="24" t="s">
        <v>231</v>
      </c>
      <c r="C763" s="34">
        <v>80</v>
      </c>
      <c r="D763" s="52">
        <v>2.4</v>
      </c>
      <c r="E763" s="52">
        <v>3.42</v>
      </c>
      <c r="F763" s="52">
        <v>11.68</v>
      </c>
      <c r="G763" s="52">
        <v>140.26</v>
      </c>
      <c r="H763" s="52">
        <v>0</v>
      </c>
    </row>
    <row r="764" spans="1:8" ht="177.75" thickBot="1">
      <c r="A764" s="35">
        <v>66</v>
      </c>
      <c r="B764" s="56" t="s">
        <v>146</v>
      </c>
      <c r="C764" s="51" t="s">
        <v>27</v>
      </c>
      <c r="D764" s="48">
        <v>0.51</v>
      </c>
      <c r="E764" s="48">
        <v>0.21</v>
      </c>
      <c r="F764" s="48">
        <v>16.22</v>
      </c>
      <c r="G764" s="48">
        <v>79</v>
      </c>
      <c r="H764" s="48">
        <v>150</v>
      </c>
    </row>
    <row r="765" spans="1:8" ht="177.75" thickBot="1">
      <c r="A765" s="47" t="s">
        <v>32</v>
      </c>
      <c r="B765" s="24" t="s">
        <v>56</v>
      </c>
      <c r="C765" s="34">
        <v>20</v>
      </c>
      <c r="D765" s="52">
        <v>1.6</v>
      </c>
      <c r="E765" s="52">
        <v>0.2</v>
      </c>
      <c r="F765" s="52">
        <v>9.64</v>
      </c>
      <c r="G765" s="52">
        <v>47.2</v>
      </c>
      <c r="H765" s="52">
        <v>0</v>
      </c>
    </row>
    <row r="766" spans="1:8" ht="177.75" thickBot="1">
      <c r="A766" s="47" t="s">
        <v>32</v>
      </c>
      <c r="B766" s="24" t="s">
        <v>58</v>
      </c>
      <c r="C766" s="34">
        <v>40</v>
      </c>
      <c r="D766" s="52">
        <v>2.24</v>
      </c>
      <c r="E766" s="52">
        <v>0.48</v>
      </c>
      <c r="F766" s="52">
        <v>19.76</v>
      </c>
      <c r="G766" s="52">
        <v>92.8</v>
      </c>
      <c r="H766" s="52">
        <v>0</v>
      </c>
    </row>
    <row r="767" spans="1:8" ht="89.25" thickBot="1">
      <c r="A767" s="54"/>
      <c r="B767" s="26" t="s">
        <v>29</v>
      </c>
      <c r="C767" s="34">
        <f aca="true" t="shared" si="54" ref="C767:H767">C759+C760+C761+C762+C763+C764+C765+C766</f>
        <v>565</v>
      </c>
      <c r="D767" s="48">
        <f t="shared" si="54"/>
        <v>22.540000000000006</v>
      </c>
      <c r="E767" s="48">
        <f t="shared" si="54"/>
        <v>18.419999999999998</v>
      </c>
      <c r="F767" s="48">
        <f t="shared" si="54"/>
        <v>76.61</v>
      </c>
      <c r="G767" s="48">
        <f t="shared" si="54"/>
        <v>643.9899999999999</v>
      </c>
      <c r="H767" s="48">
        <f t="shared" si="54"/>
        <v>159.84</v>
      </c>
    </row>
    <row r="768" spans="1:8" ht="89.25" thickBot="1">
      <c r="A768" s="172" t="s">
        <v>145</v>
      </c>
      <c r="B768" s="173"/>
      <c r="C768" s="173"/>
      <c r="D768" s="173"/>
      <c r="E768" s="173"/>
      <c r="F768" s="173"/>
      <c r="G768" s="173"/>
      <c r="H768" s="174"/>
    </row>
    <row r="769" spans="1:8" ht="191.25" customHeight="1" thickBot="1">
      <c r="A769" s="55">
        <v>21.1</v>
      </c>
      <c r="B769" s="56" t="s">
        <v>172</v>
      </c>
      <c r="C769" s="51" t="s">
        <v>27</v>
      </c>
      <c r="D769" s="48">
        <v>4.35</v>
      </c>
      <c r="E769" s="48">
        <v>4.8</v>
      </c>
      <c r="F769" s="48">
        <v>6</v>
      </c>
      <c r="G769" s="48">
        <v>88.5</v>
      </c>
      <c r="H769" s="48">
        <v>1.05</v>
      </c>
    </row>
    <row r="770" spans="1:8" ht="177.75" thickBot="1">
      <c r="A770" s="47">
        <v>55</v>
      </c>
      <c r="B770" s="24" t="s">
        <v>248</v>
      </c>
      <c r="C770" s="51" t="s">
        <v>34</v>
      </c>
      <c r="D770" s="52">
        <v>9.7</v>
      </c>
      <c r="E770" s="52">
        <v>6.44</v>
      </c>
      <c r="F770" s="52">
        <v>17.46</v>
      </c>
      <c r="G770" s="52">
        <v>170</v>
      </c>
      <c r="H770" s="52">
        <v>0.16</v>
      </c>
    </row>
    <row r="771" spans="1:8" ht="89.25" thickBot="1">
      <c r="A771" s="54"/>
      <c r="B771" s="24" t="s">
        <v>29</v>
      </c>
      <c r="C771" s="34">
        <f aca="true" t="shared" si="55" ref="C771:H771">C769+C770</f>
        <v>210</v>
      </c>
      <c r="D771" s="52">
        <f t="shared" si="55"/>
        <v>14.049999999999999</v>
      </c>
      <c r="E771" s="52">
        <f t="shared" si="55"/>
        <v>11.24</v>
      </c>
      <c r="F771" s="52">
        <f t="shared" si="55"/>
        <v>23.46</v>
      </c>
      <c r="G771" s="52">
        <f t="shared" si="55"/>
        <v>258.5</v>
      </c>
      <c r="H771" s="52">
        <f t="shared" si="55"/>
        <v>1.21</v>
      </c>
    </row>
    <row r="772" spans="1:8" ht="89.25" thickBot="1">
      <c r="A772" s="172" t="s">
        <v>144</v>
      </c>
      <c r="B772" s="173"/>
      <c r="C772" s="173"/>
      <c r="D772" s="173"/>
      <c r="E772" s="173"/>
      <c r="F772" s="173"/>
      <c r="G772" s="173"/>
      <c r="H772" s="174"/>
    </row>
    <row r="773" spans="1:8" ht="177.75" thickBot="1">
      <c r="A773" s="54">
        <v>71</v>
      </c>
      <c r="B773" s="26" t="s">
        <v>261</v>
      </c>
      <c r="C773" s="34">
        <v>120</v>
      </c>
      <c r="D773" s="48">
        <v>13.15</v>
      </c>
      <c r="E773" s="48">
        <v>2.82</v>
      </c>
      <c r="F773" s="48">
        <v>4.23</v>
      </c>
      <c r="G773" s="48">
        <v>94</v>
      </c>
      <c r="H773" s="48">
        <v>1.51</v>
      </c>
    </row>
    <row r="774" spans="1:8" ht="89.25" thickBot="1">
      <c r="A774" s="54">
        <v>79</v>
      </c>
      <c r="B774" s="24" t="s">
        <v>262</v>
      </c>
      <c r="C774" s="34">
        <v>115</v>
      </c>
      <c r="D774" s="52">
        <v>2.21</v>
      </c>
      <c r="E774" s="52">
        <v>5.1</v>
      </c>
      <c r="F774" s="52">
        <v>15.45</v>
      </c>
      <c r="G774" s="52">
        <v>116.51</v>
      </c>
      <c r="H774" s="52">
        <v>9.2</v>
      </c>
    </row>
    <row r="775" spans="1:8" ht="177.75" thickBot="1">
      <c r="A775" s="47" t="s">
        <v>32</v>
      </c>
      <c r="B775" s="24" t="s">
        <v>56</v>
      </c>
      <c r="C775" s="34">
        <v>15</v>
      </c>
      <c r="D775" s="52">
        <v>1.2</v>
      </c>
      <c r="E775" s="52">
        <v>0.15</v>
      </c>
      <c r="F775" s="52">
        <v>7.23</v>
      </c>
      <c r="G775" s="52">
        <v>35.4</v>
      </c>
      <c r="H775" s="52">
        <v>0</v>
      </c>
    </row>
    <row r="776" spans="1:8" ht="177.75" thickBot="1">
      <c r="A776" s="47">
        <v>69</v>
      </c>
      <c r="B776" s="24" t="s">
        <v>106</v>
      </c>
      <c r="C776" s="51" t="s">
        <v>253</v>
      </c>
      <c r="D776" s="52">
        <v>0.34</v>
      </c>
      <c r="E776" s="52">
        <v>0.34</v>
      </c>
      <c r="F776" s="52">
        <v>8.33</v>
      </c>
      <c r="G776" s="52">
        <v>39.95</v>
      </c>
      <c r="H776" s="52">
        <v>8.5</v>
      </c>
    </row>
    <row r="777" spans="1:8" ht="89.25" thickBot="1">
      <c r="A777" s="49">
        <v>31</v>
      </c>
      <c r="B777" s="50" t="s">
        <v>9</v>
      </c>
      <c r="C777" s="34">
        <v>180</v>
      </c>
      <c r="D777" s="48">
        <v>0.05</v>
      </c>
      <c r="E777" s="48">
        <v>0</v>
      </c>
      <c r="F777" s="48">
        <v>10.92</v>
      </c>
      <c r="G777" s="48">
        <v>42</v>
      </c>
      <c r="H777" s="48">
        <v>1.92</v>
      </c>
    </row>
    <row r="778" spans="1:8" ht="89.25" thickBot="1">
      <c r="A778" s="42"/>
      <c r="B778" s="24" t="s">
        <v>6</v>
      </c>
      <c r="C778" s="34">
        <f aca="true" t="shared" si="56" ref="C778:H778">C773+C774+C775+C776+C777</f>
        <v>515</v>
      </c>
      <c r="D778" s="52">
        <f t="shared" si="56"/>
        <v>16.95</v>
      </c>
      <c r="E778" s="52">
        <f t="shared" si="56"/>
        <v>8.41</v>
      </c>
      <c r="F778" s="52">
        <f t="shared" si="56"/>
        <v>46.160000000000004</v>
      </c>
      <c r="G778" s="52">
        <f t="shared" si="56"/>
        <v>327.86</v>
      </c>
      <c r="H778" s="52">
        <f t="shared" si="56"/>
        <v>21.130000000000003</v>
      </c>
    </row>
    <row r="779" spans="1:8" ht="89.25" thickBot="1">
      <c r="A779" s="47"/>
      <c r="B779" s="24"/>
      <c r="C779" s="51"/>
      <c r="D779" s="40" t="s">
        <v>0</v>
      </c>
      <c r="E779" s="41" t="s">
        <v>1</v>
      </c>
      <c r="F779" s="41" t="s">
        <v>2</v>
      </c>
      <c r="G779" s="149" t="s">
        <v>3</v>
      </c>
      <c r="H779" s="41" t="s">
        <v>4</v>
      </c>
    </row>
    <row r="780" spans="1:8" ht="89.25" thickBot="1">
      <c r="A780" s="47"/>
      <c r="B780" s="58" t="s">
        <v>10</v>
      </c>
      <c r="C780" s="51"/>
      <c r="D780" s="52">
        <f>D754+D757+D767+D771+D778</f>
        <v>65.4</v>
      </c>
      <c r="E780" s="52">
        <f>E754+E757+E767+E771+E778</f>
        <v>52.93000000000001</v>
      </c>
      <c r="F780" s="52">
        <f>F754+F757+F767+F771+F778</f>
        <v>203.77</v>
      </c>
      <c r="G780" s="52">
        <f>G754+G757+G767+G771+G778</f>
        <v>1640.35</v>
      </c>
      <c r="H780" s="52">
        <f>H754+H757+H767+H771+H778</f>
        <v>186.88</v>
      </c>
    </row>
    <row r="781" spans="1:8" ht="96" customHeight="1" thickBot="1">
      <c r="A781" s="47"/>
      <c r="B781" s="58" t="s">
        <v>11</v>
      </c>
      <c r="C781" s="51"/>
      <c r="D781" s="52">
        <v>42</v>
      </c>
      <c r="E781" s="52">
        <v>47</v>
      </c>
      <c r="F781" s="52">
        <v>203</v>
      </c>
      <c r="G781" s="52">
        <v>1400</v>
      </c>
      <c r="H781" s="52">
        <v>45</v>
      </c>
    </row>
    <row r="782" spans="1:8" ht="195" customHeight="1" thickBot="1">
      <c r="A782" s="42"/>
      <c r="B782" s="59" t="s">
        <v>12</v>
      </c>
      <c r="C782" s="41"/>
      <c r="D782" s="60">
        <f>D780*100/D781</f>
        <v>155.71428571428572</v>
      </c>
      <c r="E782" s="60">
        <f>E780*100/E781</f>
        <v>112.61702127659576</v>
      </c>
      <c r="F782" s="60">
        <f>F780*100/F781</f>
        <v>100.37931034482759</v>
      </c>
      <c r="G782" s="60">
        <f>G780*100/G781</f>
        <v>117.16785714285714</v>
      </c>
      <c r="H782" s="60">
        <f>H780*100/H781</f>
        <v>415.2888888888889</v>
      </c>
    </row>
    <row r="783" spans="1:8" ht="88.5">
      <c r="A783" s="61"/>
      <c r="B783" s="147"/>
      <c r="C783" s="146"/>
      <c r="D783" s="62"/>
      <c r="E783" s="62"/>
      <c r="F783" s="62"/>
      <c r="G783" s="62"/>
      <c r="H783" s="62"/>
    </row>
    <row r="784" spans="1:8" ht="88.5">
      <c r="A784" s="61"/>
      <c r="B784" s="38" t="s">
        <v>68</v>
      </c>
      <c r="C784" s="38"/>
      <c r="E784" s="62"/>
      <c r="F784" s="62"/>
      <c r="G784" s="62"/>
      <c r="H784" s="62"/>
    </row>
    <row r="785" spans="1:2" ht="102">
      <c r="A785" s="61"/>
      <c r="B785" s="38" t="s">
        <v>271</v>
      </c>
    </row>
    <row r="786" spans="1:2" ht="88.5">
      <c r="A786" s="61"/>
      <c r="B786" s="38" t="s">
        <v>67</v>
      </c>
    </row>
    <row r="787" spans="1:2" ht="88.5">
      <c r="A787" s="61"/>
      <c r="B787" s="38" t="s">
        <v>149</v>
      </c>
    </row>
    <row r="788" spans="1:8" ht="88.5">
      <c r="A788" s="175" t="s">
        <v>202</v>
      </c>
      <c r="B788" s="175"/>
      <c r="C788" s="175"/>
      <c r="D788" s="175"/>
      <c r="E788" s="175"/>
      <c r="F788" s="175"/>
      <c r="G788" s="175"/>
      <c r="H788" s="175"/>
    </row>
    <row r="789" spans="1:8" ht="88.5">
      <c r="A789" s="175" t="s">
        <v>52</v>
      </c>
      <c r="B789" s="175"/>
      <c r="C789" s="175"/>
      <c r="D789" s="175"/>
      <c r="E789" s="175"/>
      <c r="F789" s="175"/>
      <c r="G789" s="175"/>
      <c r="H789" s="175"/>
    </row>
    <row r="790" spans="1:8" ht="88.5">
      <c r="A790" s="176" t="s">
        <v>64</v>
      </c>
      <c r="B790" s="176"/>
      <c r="C790" s="176"/>
      <c r="D790" s="176"/>
      <c r="E790" s="176"/>
      <c r="F790" s="176"/>
      <c r="G790" s="176"/>
      <c r="H790" s="176"/>
    </row>
    <row r="791" spans="1:8" ht="89.25" thickBot="1">
      <c r="A791" s="177"/>
      <c r="B791" s="177"/>
      <c r="C791" s="177"/>
      <c r="D791" s="177"/>
      <c r="E791" s="177"/>
      <c r="F791" s="177"/>
      <c r="G791" s="177"/>
      <c r="H791" s="177"/>
    </row>
    <row r="792" spans="1:8" ht="89.25" thickBot="1">
      <c r="A792" s="178" t="s">
        <v>30</v>
      </c>
      <c r="B792" s="180" t="s">
        <v>50</v>
      </c>
      <c r="C792" s="183" t="s">
        <v>111</v>
      </c>
      <c r="D792" s="172" t="s">
        <v>24</v>
      </c>
      <c r="E792" s="173"/>
      <c r="F792" s="174"/>
      <c r="G792" s="180" t="s">
        <v>51</v>
      </c>
      <c r="H792" s="180" t="s">
        <v>112</v>
      </c>
    </row>
    <row r="793" spans="1:8" ht="89.25" thickBot="1">
      <c r="A793" s="179"/>
      <c r="B793" s="181"/>
      <c r="C793" s="184"/>
      <c r="D793" s="40" t="s">
        <v>0</v>
      </c>
      <c r="E793" s="41" t="s">
        <v>1</v>
      </c>
      <c r="F793" s="41" t="s">
        <v>2</v>
      </c>
      <c r="G793" s="181"/>
      <c r="H793" s="181"/>
    </row>
    <row r="794" spans="1:8" ht="89.25" thickBot="1">
      <c r="A794" s="148">
        <v>1</v>
      </c>
      <c r="B794" s="43">
        <v>2</v>
      </c>
      <c r="C794" s="44">
        <v>3</v>
      </c>
      <c r="D794" s="63">
        <v>4</v>
      </c>
      <c r="E794" s="43">
        <v>5</v>
      </c>
      <c r="F794" s="43">
        <v>6</v>
      </c>
      <c r="G794" s="43">
        <v>7</v>
      </c>
      <c r="H794" s="43">
        <v>8</v>
      </c>
    </row>
    <row r="795" spans="1:8" ht="89.25" thickBot="1">
      <c r="A795" s="172" t="s">
        <v>5</v>
      </c>
      <c r="B795" s="173"/>
      <c r="C795" s="173"/>
      <c r="D795" s="173"/>
      <c r="E795" s="173"/>
      <c r="F795" s="173"/>
      <c r="G795" s="173"/>
      <c r="H795" s="174"/>
    </row>
    <row r="796" spans="1:8" ht="177.75" thickBot="1">
      <c r="A796" s="64">
        <v>68</v>
      </c>
      <c r="B796" s="65" t="s">
        <v>220</v>
      </c>
      <c r="C796" s="66">
        <v>150</v>
      </c>
      <c r="D796" s="67">
        <v>5.22</v>
      </c>
      <c r="E796" s="67">
        <v>5.28</v>
      </c>
      <c r="F796" s="67">
        <v>22.12</v>
      </c>
      <c r="G796" s="67">
        <v>156</v>
      </c>
      <c r="H796" s="67">
        <v>1.47</v>
      </c>
    </row>
    <row r="797" spans="1:8" ht="177.75" thickBot="1">
      <c r="A797" s="47">
        <v>2</v>
      </c>
      <c r="B797" s="24" t="s">
        <v>69</v>
      </c>
      <c r="C797" s="34">
        <v>180</v>
      </c>
      <c r="D797" s="48">
        <v>2.92</v>
      </c>
      <c r="E797" s="48">
        <v>3.08</v>
      </c>
      <c r="F797" s="48">
        <v>12.41</v>
      </c>
      <c r="G797" s="48">
        <v>86</v>
      </c>
      <c r="H797" s="48">
        <v>1.17</v>
      </c>
    </row>
    <row r="798" spans="1:8" ht="89.25" thickBot="1">
      <c r="A798" s="47">
        <v>86</v>
      </c>
      <c r="B798" s="24" t="s">
        <v>206</v>
      </c>
      <c r="C798" s="53" t="s">
        <v>155</v>
      </c>
      <c r="D798" s="52">
        <v>1.57</v>
      </c>
      <c r="E798" s="52">
        <v>0.16</v>
      </c>
      <c r="F798" s="52">
        <v>16.72</v>
      </c>
      <c r="G798" s="52">
        <v>73</v>
      </c>
      <c r="H798" s="52">
        <v>0.02</v>
      </c>
    </row>
    <row r="799" spans="1:8" ht="89.25" thickBot="1">
      <c r="A799" s="47"/>
      <c r="B799" s="24" t="s">
        <v>6</v>
      </c>
      <c r="C799" s="34">
        <f aca="true" t="shared" si="57" ref="C799:H799">C796+C797+C798</f>
        <v>360</v>
      </c>
      <c r="D799" s="52">
        <f t="shared" si="57"/>
        <v>9.71</v>
      </c>
      <c r="E799" s="52">
        <f t="shared" si="57"/>
        <v>8.52</v>
      </c>
      <c r="F799" s="52">
        <f t="shared" si="57"/>
        <v>51.25</v>
      </c>
      <c r="G799" s="52">
        <f t="shared" si="57"/>
        <v>315</v>
      </c>
      <c r="H799" s="52">
        <f t="shared" si="57"/>
        <v>2.6599999999999997</v>
      </c>
    </row>
    <row r="800" spans="1:8" ht="89.25" thickBot="1">
      <c r="A800" s="172" t="s">
        <v>53</v>
      </c>
      <c r="B800" s="173"/>
      <c r="C800" s="173"/>
      <c r="D800" s="173"/>
      <c r="E800" s="173"/>
      <c r="F800" s="173"/>
      <c r="G800" s="173"/>
      <c r="H800" s="174"/>
    </row>
    <row r="801" spans="1:8" ht="89.25" thickBot="1">
      <c r="A801" s="47" t="s">
        <v>32</v>
      </c>
      <c r="B801" s="24" t="s">
        <v>182</v>
      </c>
      <c r="C801" s="53" t="s">
        <v>26</v>
      </c>
      <c r="D801" s="52">
        <v>0.2</v>
      </c>
      <c r="E801" s="52">
        <v>0.11</v>
      </c>
      <c r="F801" s="52">
        <v>10.11</v>
      </c>
      <c r="G801" s="52">
        <v>46</v>
      </c>
      <c r="H801" s="52">
        <v>2</v>
      </c>
    </row>
    <row r="802" spans="1:8" ht="89.25" thickBot="1">
      <c r="A802" s="47"/>
      <c r="B802" s="24" t="s">
        <v>6</v>
      </c>
      <c r="C802" s="51" t="s">
        <v>26</v>
      </c>
      <c r="D802" s="52">
        <f>SUM(D801)</f>
        <v>0.2</v>
      </c>
      <c r="E802" s="52">
        <f>SUM(E801)</f>
        <v>0.11</v>
      </c>
      <c r="F802" s="52">
        <f>SUM(F801)</f>
        <v>10.11</v>
      </c>
      <c r="G802" s="52">
        <f>SUM(G801)</f>
        <v>46</v>
      </c>
      <c r="H802" s="52">
        <f>SUM(H801)</f>
        <v>2</v>
      </c>
    </row>
    <row r="803" spans="1:8" ht="89.25" thickBot="1">
      <c r="A803" s="185" t="s">
        <v>31</v>
      </c>
      <c r="B803" s="186"/>
      <c r="C803" s="186"/>
      <c r="D803" s="186"/>
      <c r="E803" s="186"/>
      <c r="F803" s="186"/>
      <c r="G803" s="186"/>
      <c r="H803" s="187"/>
    </row>
    <row r="804" spans="1:8" ht="89.25" thickBot="1">
      <c r="A804" s="54">
        <v>51</v>
      </c>
      <c r="B804" s="24" t="s">
        <v>226</v>
      </c>
      <c r="C804" s="53" t="s">
        <v>155</v>
      </c>
      <c r="D804" s="52">
        <v>0.47</v>
      </c>
      <c r="E804" s="52">
        <v>2.44</v>
      </c>
      <c r="F804" s="52">
        <v>2.77</v>
      </c>
      <c r="G804" s="52">
        <v>35</v>
      </c>
      <c r="H804" s="52">
        <v>1.1</v>
      </c>
    </row>
    <row r="805" spans="1:8" ht="177.75" thickBot="1">
      <c r="A805" s="47">
        <v>92</v>
      </c>
      <c r="B805" s="24" t="s">
        <v>238</v>
      </c>
      <c r="C805" s="51" t="s">
        <v>27</v>
      </c>
      <c r="D805" s="52">
        <v>8.3</v>
      </c>
      <c r="E805" s="52">
        <v>5.6</v>
      </c>
      <c r="F805" s="52">
        <v>11.24</v>
      </c>
      <c r="G805" s="52">
        <v>143</v>
      </c>
      <c r="H805" s="52">
        <v>8</v>
      </c>
    </row>
    <row r="806" spans="1:8" ht="177.75" thickBot="1">
      <c r="A806" s="47">
        <v>81</v>
      </c>
      <c r="B806" s="24" t="s">
        <v>209</v>
      </c>
      <c r="C806" s="34">
        <v>200</v>
      </c>
      <c r="D806" s="52">
        <v>3.05</v>
      </c>
      <c r="E806" s="52">
        <v>6.42</v>
      </c>
      <c r="F806" s="52">
        <v>12.48</v>
      </c>
      <c r="G806" s="52">
        <v>127.2</v>
      </c>
      <c r="H806" s="52">
        <v>16.25</v>
      </c>
    </row>
    <row r="807" spans="1:8" ht="354.75" thickBot="1">
      <c r="A807" s="47">
        <v>20</v>
      </c>
      <c r="B807" s="24" t="s">
        <v>232</v>
      </c>
      <c r="C807" s="53" t="s">
        <v>241</v>
      </c>
      <c r="D807" s="52">
        <v>0</v>
      </c>
      <c r="E807" s="52">
        <v>0</v>
      </c>
      <c r="F807" s="52">
        <v>22.71</v>
      </c>
      <c r="G807" s="52">
        <v>87.5</v>
      </c>
      <c r="H807" s="52">
        <v>0</v>
      </c>
    </row>
    <row r="808" spans="1:8" ht="177.75" thickBot="1">
      <c r="A808" s="47" t="s">
        <v>32</v>
      </c>
      <c r="B808" s="24" t="s">
        <v>56</v>
      </c>
      <c r="C808" s="34">
        <v>20</v>
      </c>
      <c r="D808" s="52">
        <v>1.6</v>
      </c>
      <c r="E808" s="52">
        <v>0.2</v>
      </c>
      <c r="F808" s="52">
        <v>9.64</v>
      </c>
      <c r="G808" s="52">
        <v>47.2</v>
      </c>
      <c r="H808" s="52">
        <v>0</v>
      </c>
    </row>
    <row r="809" spans="1:8" ht="177.75" thickBot="1">
      <c r="A809" s="47" t="s">
        <v>32</v>
      </c>
      <c r="B809" s="24" t="s">
        <v>58</v>
      </c>
      <c r="C809" s="34">
        <v>40</v>
      </c>
      <c r="D809" s="52">
        <v>2.24</v>
      </c>
      <c r="E809" s="52">
        <v>0.48</v>
      </c>
      <c r="F809" s="52">
        <v>19.76</v>
      </c>
      <c r="G809" s="52">
        <v>92.8</v>
      </c>
      <c r="H809" s="52">
        <v>0</v>
      </c>
    </row>
    <row r="810" spans="1:8" ht="89.25" thickBot="1">
      <c r="A810" s="47"/>
      <c r="B810" s="24" t="s">
        <v>6</v>
      </c>
      <c r="C810" s="34">
        <f aca="true" t="shared" si="58" ref="C810:H810">C804+C805+C806+C807+C808+C809</f>
        <v>580</v>
      </c>
      <c r="D810" s="52">
        <f t="shared" si="58"/>
        <v>15.66</v>
      </c>
      <c r="E810" s="52">
        <f t="shared" si="58"/>
        <v>15.139999999999999</v>
      </c>
      <c r="F810" s="52">
        <f t="shared" si="58"/>
        <v>78.60000000000001</v>
      </c>
      <c r="G810" s="52">
        <f t="shared" si="58"/>
        <v>532.6999999999999</v>
      </c>
      <c r="H810" s="52">
        <f t="shared" si="58"/>
        <v>25.35</v>
      </c>
    </row>
    <row r="811" spans="1:8" ht="89.25" thickBot="1">
      <c r="A811" s="172" t="s">
        <v>145</v>
      </c>
      <c r="B811" s="173"/>
      <c r="C811" s="173"/>
      <c r="D811" s="173"/>
      <c r="E811" s="173"/>
      <c r="F811" s="173"/>
      <c r="G811" s="173"/>
      <c r="H811" s="174"/>
    </row>
    <row r="812" spans="1:8" ht="266.25" thickBot="1">
      <c r="A812" s="55">
        <v>21.1</v>
      </c>
      <c r="B812" s="56" t="s">
        <v>172</v>
      </c>
      <c r="C812" s="51" t="s">
        <v>27</v>
      </c>
      <c r="D812" s="48">
        <v>4.35</v>
      </c>
      <c r="E812" s="48">
        <v>4.8</v>
      </c>
      <c r="F812" s="48">
        <v>6</v>
      </c>
      <c r="G812" s="48">
        <v>88.5</v>
      </c>
      <c r="H812" s="48">
        <v>1.05</v>
      </c>
    </row>
    <row r="813" spans="1:8" ht="89.25" thickBot="1">
      <c r="A813" s="54">
        <v>74</v>
      </c>
      <c r="B813" s="24" t="s">
        <v>221</v>
      </c>
      <c r="C813" s="51" t="s">
        <v>34</v>
      </c>
      <c r="D813" s="52">
        <v>7.65</v>
      </c>
      <c r="E813" s="52">
        <v>9.23</v>
      </c>
      <c r="F813" s="52">
        <v>14.73</v>
      </c>
      <c r="G813" s="52">
        <v>178.5</v>
      </c>
      <c r="H813" s="52">
        <v>0.27</v>
      </c>
    </row>
    <row r="814" spans="1:8" ht="89.25" thickBot="1">
      <c r="A814" s="54"/>
      <c r="B814" s="24" t="s">
        <v>29</v>
      </c>
      <c r="C814" s="34">
        <f aca="true" t="shared" si="59" ref="C814:H814">C812+C813</f>
        <v>210</v>
      </c>
      <c r="D814" s="52">
        <f t="shared" si="59"/>
        <v>12</v>
      </c>
      <c r="E814" s="52">
        <f t="shared" si="59"/>
        <v>14.030000000000001</v>
      </c>
      <c r="F814" s="52">
        <f t="shared" si="59"/>
        <v>20.73</v>
      </c>
      <c r="G814" s="52">
        <f t="shared" si="59"/>
        <v>267</v>
      </c>
      <c r="H814" s="52">
        <f t="shared" si="59"/>
        <v>1.32</v>
      </c>
    </row>
    <row r="815" spans="1:8" ht="89.25" thickBot="1">
      <c r="A815" s="185" t="s">
        <v>144</v>
      </c>
      <c r="B815" s="186"/>
      <c r="C815" s="186"/>
      <c r="D815" s="186"/>
      <c r="E815" s="186"/>
      <c r="F815" s="186"/>
      <c r="G815" s="186"/>
      <c r="H815" s="187"/>
    </row>
    <row r="816" spans="1:8" ht="409.5" thickBot="1">
      <c r="A816" s="54">
        <v>87.84</v>
      </c>
      <c r="B816" s="26" t="s">
        <v>273</v>
      </c>
      <c r="C816" s="34">
        <v>150</v>
      </c>
      <c r="D816" s="48">
        <v>4.38</v>
      </c>
      <c r="E816" s="48">
        <v>5.23</v>
      </c>
      <c r="F816" s="48">
        <v>19.78</v>
      </c>
      <c r="G816" s="48">
        <v>143</v>
      </c>
      <c r="H816" s="48">
        <v>1.47</v>
      </c>
    </row>
    <row r="817" spans="1:8" ht="177.75" thickBot="1">
      <c r="A817" s="47" t="s">
        <v>32</v>
      </c>
      <c r="B817" s="24" t="s">
        <v>56</v>
      </c>
      <c r="C817" s="34">
        <v>15</v>
      </c>
      <c r="D817" s="52">
        <v>1.2</v>
      </c>
      <c r="E817" s="52">
        <v>0.15</v>
      </c>
      <c r="F817" s="52">
        <v>7.23</v>
      </c>
      <c r="G817" s="52">
        <v>35.4</v>
      </c>
      <c r="H817" s="52">
        <v>0</v>
      </c>
    </row>
    <row r="818" spans="1:8" ht="89.25" thickBot="1">
      <c r="A818" s="54">
        <v>76</v>
      </c>
      <c r="B818" s="50" t="s">
        <v>171</v>
      </c>
      <c r="C818" s="34">
        <v>180</v>
      </c>
      <c r="D818" s="52">
        <v>2.02</v>
      </c>
      <c r="E818" s="52">
        <v>2.3</v>
      </c>
      <c r="F818" s="52">
        <v>11.36</v>
      </c>
      <c r="G818" s="52">
        <v>74</v>
      </c>
      <c r="H818" s="52">
        <v>0.94</v>
      </c>
    </row>
    <row r="819" spans="1:8" ht="177.75" thickBot="1">
      <c r="A819" s="47">
        <v>69</v>
      </c>
      <c r="B819" s="24" t="s">
        <v>106</v>
      </c>
      <c r="C819" s="51" t="s">
        <v>253</v>
      </c>
      <c r="D819" s="52">
        <v>0.34</v>
      </c>
      <c r="E819" s="52">
        <v>0.34</v>
      </c>
      <c r="F819" s="52">
        <v>8.33</v>
      </c>
      <c r="G819" s="52">
        <v>39.95</v>
      </c>
      <c r="H819" s="52">
        <v>8.5</v>
      </c>
    </row>
    <row r="820" spans="1:8" ht="89.25" thickBot="1">
      <c r="A820" s="47"/>
      <c r="B820" s="24" t="s">
        <v>6</v>
      </c>
      <c r="C820" s="34">
        <f aca="true" t="shared" si="60" ref="C820:H820">C816+C817+C818+C819</f>
        <v>430</v>
      </c>
      <c r="D820" s="52">
        <f t="shared" si="60"/>
        <v>7.9399999999999995</v>
      </c>
      <c r="E820" s="52">
        <f t="shared" si="60"/>
        <v>8.020000000000001</v>
      </c>
      <c r="F820" s="52">
        <f t="shared" si="60"/>
        <v>46.7</v>
      </c>
      <c r="G820" s="52">
        <f t="shared" si="60"/>
        <v>292.35</v>
      </c>
      <c r="H820" s="52">
        <f t="shared" si="60"/>
        <v>10.91</v>
      </c>
    </row>
    <row r="821" spans="1:8" ht="89.25" thickBot="1">
      <c r="A821" s="47"/>
      <c r="B821" s="24"/>
      <c r="C821" s="51"/>
      <c r="D821" s="40" t="s">
        <v>0</v>
      </c>
      <c r="E821" s="41" t="s">
        <v>1</v>
      </c>
      <c r="F821" s="41" t="s">
        <v>2</v>
      </c>
      <c r="G821" s="149" t="s">
        <v>3</v>
      </c>
      <c r="H821" s="41" t="s">
        <v>4</v>
      </c>
    </row>
    <row r="822" spans="1:8" ht="89.25" thickBot="1">
      <c r="A822" s="47"/>
      <c r="B822" s="58" t="s">
        <v>10</v>
      </c>
      <c r="C822" s="51"/>
      <c r="D822" s="52">
        <f>D799+D802+D810+D814+D820</f>
        <v>45.51</v>
      </c>
      <c r="E822" s="52">
        <f>E799+E802+E810+E814+E820</f>
        <v>45.82</v>
      </c>
      <c r="F822" s="52">
        <f>F799+F802+F810+F814+F820</f>
        <v>207.39</v>
      </c>
      <c r="G822" s="52">
        <f>G799+G802+G810+G814+G820</f>
        <v>1453.0499999999997</v>
      </c>
      <c r="H822" s="52">
        <f>H799+H802+H810+H814+H820</f>
        <v>42.24</v>
      </c>
    </row>
    <row r="823" spans="1:8" ht="176.25" thickBot="1">
      <c r="A823" s="47"/>
      <c r="B823" s="58" t="s">
        <v>11</v>
      </c>
      <c r="C823" s="51"/>
      <c r="D823" s="52">
        <v>42</v>
      </c>
      <c r="E823" s="52">
        <v>47</v>
      </c>
      <c r="F823" s="52">
        <v>203</v>
      </c>
      <c r="G823" s="52">
        <v>1400</v>
      </c>
      <c r="H823" s="52">
        <v>45</v>
      </c>
    </row>
    <row r="824" spans="1:8" ht="225" customHeight="1" thickBot="1">
      <c r="A824" s="42"/>
      <c r="B824" s="59" t="s">
        <v>12</v>
      </c>
      <c r="C824" s="41"/>
      <c r="D824" s="60">
        <f>D822*100/D823</f>
        <v>108.35714285714286</v>
      </c>
      <c r="E824" s="60">
        <f>E822*100/E823</f>
        <v>97.48936170212765</v>
      </c>
      <c r="F824" s="60">
        <f>F822*100/F823</f>
        <v>102.16256157635468</v>
      </c>
      <c r="G824" s="60">
        <f>G822*100/G823</f>
        <v>103.7892857142857</v>
      </c>
      <c r="H824" s="60">
        <f>H822*100/H823</f>
        <v>93.86666666666666</v>
      </c>
    </row>
    <row r="825" spans="1:8" ht="88.5">
      <c r="A825" s="61"/>
      <c r="B825" s="147"/>
      <c r="C825" s="146"/>
      <c r="D825" s="62"/>
      <c r="E825" s="62"/>
      <c r="F825" s="62"/>
      <c r="G825" s="62"/>
      <c r="H825" s="62"/>
    </row>
    <row r="826" spans="1:8" ht="88.5">
      <c r="A826" s="61"/>
      <c r="B826" s="38" t="s">
        <v>68</v>
      </c>
      <c r="C826" s="38"/>
      <c r="E826" s="62"/>
      <c r="F826" s="62"/>
      <c r="G826" s="62"/>
      <c r="H826" s="62"/>
    </row>
    <row r="827" spans="1:2" ht="102">
      <c r="A827" s="61"/>
      <c r="B827" s="38" t="s">
        <v>271</v>
      </c>
    </row>
    <row r="828" spans="1:2" ht="88.5">
      <c r="A828" s="61"/>
      <c r="B828" s="38" t="s">
        <v>67</v>
      </c>
    </row>
    <row r="829" spans="1:2" ht="88.5">
      <c r="A829" s="61"/>
      <c r="B829" s="38" t="s">
        <v>149</v>
      </c>
    </row>
    <row r="830" spans="1:8" ht="88.5">
      <c r="A830" s="175" t="s">
        <v>198</v>
      </c>
      <c r="B830" s="175"/>
      <c r="C830" s="175"/>
      <c r="D830" s="175"/>
      <c r="E830" s="175"/>
      <c r="F830" s="175"/>
      <c r="G830" s="175"/>
      <c r="H830" s="175"/>
    </row>
    <row r="831" spans="1:8" ht="88.5">
      <c r="A831" s="175" t="s">
        <v>52</v>
      </c>
      <c r="B831" s="175"/>
      <c r="C831" s="175"/>
      <c r="D831" s="175"/>
      <c r="E831" s="175"/>
      <c r="F831" s="175"/>
      <c r="G831" s="175"/>
      <c r="H831" s="175"/>
    </row>
    <row r="832" spans="1:8" ht="88.5">
      <c r="A832" s="176" t="s">
        <v>64</v>
      </c>
      <c r="B832" s="176"/>
      <c r="C832" s="176"/>
      <c r="D832" s="176"/>
      <c r="E832" s="176"/>
      <c r="F832" s="176"/>
      <c r="G832" s="176"/>
      <c r="H832" s="176"/>
    </row>
    <row r="833" spans="1:8" ht="89.25" thickBot="1">
      <c r="A833" s="177"/>
      <c r="B833" s="177"/>
      <c r="C833" s="177"/>
      <c r="D833" s="177"/>
      <c r="E833" s="177"/>
      <c r="F833" s="177"/>
      <c r="G833" s="177"/>
      <c r="H833" s="177"/>
    </row>
    <row r="834" spans="1:8" ht="89.25" thickBot="1">
      <c r="A834" s="178" t="s">
        <v>30</v>
      </c>
      <c r="B834" s="180" t="s">
        <v>50</v>
      </c>
      <c r="C834" s="183" t="s">
        <v>111</v>
      </c>
      <c r="D834" s="172" t="s">
        <v>24</v>
      </c>
      <c r="E834" s="173"/>
      <c r="F834" s="174"/>
      <c r="G834" s="180" t="s">
        <v>51</v>
      </c>
      <c r="H834" s="180" t="s">
        <v>112</v>
      </c>
    </row>
    <row r="835" spans="1:8" ht="89.25" thickBot="1">
      <c r="A835" s="179"/>
      <c r="B835" s="181"/>
      <c r="C835" s="184"/>
      <c r="D835" s="40" t="s">
        <v>0</v>
      </c>
      <c r="E835" s="41" t="s">
        <v>1</v>
      </c>
      <c r="F835" s="41" t="s">
        <v>2</v>
      </c>
      <c r="G835" s="181"/>
      <c r="H835" s="181"/>
    </row>
    <row r="836" spans="1:8" ht="89.25" thickBot="1">
      <c r="A836" s="42">
        <v>1</v>
      </c>
      <c r="B836" s="43">
        <v>2</v>
      </c>
      <c r="C836" s="44">
        <v>3</v>
      </c>
      <c r="D836" s="45">
        <v>4</v>
      </c>
      <c r="E836" s="43">
        <v>5</v>
      </c>
      <c r="F836" s="43">
        <v>6</v>
      </c>
      <c r="G836" s="43">
        <v>7</v>
      </c>
      <c r="H836" s="43">
        <v>8</v>
      </c>
    </row>
    <row r="837" spans="1:8" ht="89.25" thickBot="1">
      <c r="A837" s="172" t="s">
        <v>5</v>
      </c>
      <c r="B837" s="173"/>
      <c r="C837" s="173"/>
      <c r="D837" s="173"/>
      <c r="E837" s="173"/>
      <c r="F837" s="173"/>
      <c r="G837" s="173"/>
      <c r="H837" s="174"/>
    </row>
    <row r="838" spans="1:8" ht="177.75" thickBot="1">
      <c r="A838" s="54">
        <v>23</v>
      </c>
      <c r="B838" s="26" t="s">
        <v>162</v>
      </c>
      <c r="C838" s="51" t="s">
        <v>27</v>
      </c>
      <c r="D838" s="48">
        <v>5.03</v>
      </c>
      <c r="E838" s="48">
        <v>5.3</v>
      </c>
      <c r="F838" s="48">
        <v>21.54</v>
      </c>
      <c r="G838" s="48">
        <v>152</v>
      </c>
      <c r="H838" s="48">
        <v>1.47</v>
      </c>
    </row>
    <row r="839" spans="1:8" ht="89.25" thickBot="1">
      <c r="A839" s="54">
        <v>15</v>
      </c>
      <c r="B839" s="50" t="s">
        <v>224</v>
      </c>
      <c r="C839" s="34">
        <v>180</v>
      </c>
      <c r="D839" s="52">
        <v>2.79</v>
      </c>
      <c r="E839" s="52">
        <v>3.04</v>
      </c>
      <c r="F839" s="52">
        <v>12.32</v>
      </c>
      <c r="G839" s="52">
        <v>87</v>
      </c>
      <c r="H839" s="52">
        <v>1.17</v>
      </c>
    </row>
    <row r="840" spans="1:8" ht="89.25" thickBot="1">
      <c r="A840" s="47">
        <v>16</v>
      </c>
      <c r="B840" s="24" t="s">
        <v>36</v>
      </c>
      <c r="C840" s="53" t="s">
        <v>240</v>
      </c>
      <c r="D840" s="52">
        <v>1.56</v>
      </c>
      <c r="E840" s="52">
        <v>3.73</v>
      </c>
      <c r="F840" s="52">
        <v>9.9</v>
      </c>
      <c r="G840" s="52">
        <v>79</v>
      </c>
      <c r="H840" s="52">
        <v>0</v>
      </c>
    </row>
    <row r="841" spans="1:8" ht="89.25" thickBot="1">
      <c r="A841" s="47"/>
      <c r="B841" s="24" t="s">
        <v>6</v>
      </c>
      <c r="C841" s="34">
        <f>C838+C839+C840</f>
        <v>355</v>
      </c>
      <c r="D841" s="52">
        <f>SUM(D838:D840)</f>
        <v>9.38</v>
      </c>
      <c r="E841" s="52">
        <f>SUM(E838:E840)</f>
        <v>12.07</v>
      </c>
      <c r="F841" s="52">
        <f>SUM(F838:F840)</f>
        <v>43.76</v>
      </c>
      <c r="G841" s="52">
        <f>SUM(G838:G840)</f>
        <v>318</v>
      </c>
      <c r="H841" s="52">
        <f>SUM(H838:H840)</f>
        <v>2.6399999999999997</v>
      </c>
    </row>
    <row r="842" spans="1:8" ht="89.25" thickBot="1">
      <c r="A842" s="172" t="s">
        <v>53</v>
      </c>
      <c r="B842" s="173"/>
      <c r="C842" s="173"/>
      <c r="D842" s="173"/>
      <c r="E842" s="173"/>
      <c r="F842" s="173"/>
      <c r="G842" s="173"/>
      <c r="H842" s="174"/>
    </row>
    <row r="843" spans="1:8" ht="89.25" thickBot="1">
      <c r="A843" s="47" t="s">
        <v>32</v>
      </c>
      <c r="B843" s="24" t="s">
        <v>182</v>
      </c>
      <c r="C843" s="53" t="s">
        <v>26</v>
      </c>
      <c r="D843" s="52">
        <v>0.2</v>
      </c>
      <c r="E843" s="52">
        <v>0.11</v>
      </c>
      <c r="F843" s="52">
        <v>10.11</v>
      </c>
      <c r="G843" s="52">
        <v>46</v>
      </c>
      <c r="H843" s="52">
        <v>2</v>
      </c>
    </row>
    <row r="844" spans="1:8" ht="89.25" thickBot="1">
      <c r="A844" s="47"/>
      <c r="B844" s="24" t="s">
        <v>6</v>
      </c>
      <c r="C844" s="51" t="s">
        <v>26</v>
      </c>
      <c r="D844" s="52">
        <f>SUM(D843)</f>
        <v>0.2</v>
      </c>
      <c r="E844" s="52">
        <f>SUM(E843)</f>
        <v>0.11</v>
      </c>
      <c r="F844" s="52">
        <f>SUM(F843)</f>
        <v>10.11</v>
      </c>
      <c r="G844" s="52">
        <f>SUM(G843)</f>
        <v>46</v>
      </c>
      <c r="H844" s="52">
        <f>SUM(H843)</f>
        <v>2</v>
      </c>
    </row>
    <row r="845" spans="1:8" ht="89.25" thickBot="1">
      <c r="A845" s="172" t="s">
        <v>8</v>
      </c>
      <c r="B845" s="173"/>
      <c r="C845" s="173"/>
      <c r="D845" s="173"/>
      <c r="E845" s="173"/>
      <c r="F845" s="173"/>
      <c r="G845" s="173"/>
      <c r="H845" s="174"/>
    </row>
    <row r="846" spans="1:8" ht="89.25" thickBot="1">
      <c r="A846" s="54">
        <v>56</v>
      </c>
      <c r="B846" s="24" t="s">
        <v>228</v>
      </c>
      <c r="C846" s="53" t="s">
        <v>155</v>
      </c>
      <c r="D846" s="52">
        <v>0.53</v>
      </c>
      <c r="E846" s="52">
        <v>2.42</v>
      </c>
      <c r="F846" s="52">
        <v>3.03</v>
      </c>
      <c r="G846" s="52">
        <v>36.67</v>
      </c>
      <c r="H846" s="52">
        <v>3.2</v>
      </c>
    </row>
    <row r="847" spans="1:8" ht="266.25" thickBot="1">
      <c r="A847" s="47">
        <v>77</v>
      </c>
      <c r="B847" s="24" t="s">
        <v>169</v>
      </c>
      <c r="C847" s="53" t="s">
        <v>27</v>
      </c>
      <c r="D847" s="52">
        <v>2.81</v>
      </c>
      <c r="E847" s="52">
        <v>4.01</v>
      </c>
      <c r="F847" s="52">
        <v>9.62</v>
      </c>
      <c r="G847" s="52">
        <v>82.5</v>
      </c>
      <c r="H847" s="52">
        <v>5.78</v>
      </c>
    </row>
    <row r="848" spans="1:8" ht="177.75" thickBot="1">
      <c r="A848" s="47">
        <v>6</v>
      </c>
      <c r="B848" s="24" t="s">
        <v>74</v>
      </c>
      <c r="C848" s="34">
        <v>60</v>
      </c>
      <c r="D848" s="52">
        <v>8.44</v>
      </c>
      <c r="E848" s="52">
        <v>6.88</v>
      </c>
      <c r="F848" s="52">
        <v>6.13</v>
      </c>
      <c r="G848" s="52">
        <v>119.98</v>
      </c>
      <c r="H848" s="52">
        <v>0.7</v>
      </c>
    </row>
    <row r="849" spans="1:8" ht="89.25" thickBot="1">
      <c r="A849" s="47">
        <v>90</v>
      </c>
      <c r="B849" s="24" t="s">
        <v>73</v>
      </c>
      <c r="C849" s="34">
        <v>100</v>
      </c>
      <c r="D849" s="52">
        <v>1.6</v>
      </c>
      <c r="E849" s="52">
        <v>3.03</v>
      </c>
      <c r="F849" s="52">
        <v>8.9</v>
      </c>
      <c r="G849" s="52">
        <v>74</v>
      </c>
      <c r="H849" s="52">
        <v>7.83</v>
      </c>
    </row>
    <row r="850" spans="1:8" ht="177.75" thickBot="1">
      <c r="A850" s="54">
        <v>54</v>
      </c>
      <c r="B850" s="50" t="s">
        <v>154</v>
      </c>
      <c r="C850" s="53" t="s">
        <v>27</v>
      </c>
      <c r="D850" s="52">
        <v>0.12</v>
      </c>
      <c r="E850" s="52">
        <v>0.12</v>
      </c>
      <c r="F850" s="52">
        <v>12.67</v>
      </c>
      <c r="G850" s="52">
        <v>53.25</v>
      </c>
      <c r="H850" s="52">
        <v>3</v>
      </c>
    </row>
    <row r="851" spans="1:8" ht="177.75" thickBot="1">
      <c r="A851" s="47" t="s">
        <v>32</v>
      </c>
      <c r="B851" s="24" t="s">
        <v>56</v>
      </c>
      <c r="C851" s="34">
        <v>20</v>
      </c>
      <c r="D851" s="52">
        <v>1.6</v>
      </c>
      <c r="E851" s="52">
        <v>0.2</v>
      </c>
      <c r="F851" s="52">
        <v>9.64</v>
      </c>
      <c r="G851" s="52">
        <v>47.2</v>
      </c>
      <c r="H851" s="52">
        <v>0</v>
      </c>
    </row>
    <row r="852" spans="1:8" ht="177.75" thickBot="1">
      <c r="A852" s="47" t="s">
        <v>32</v>
      </c>
      <c r="B852" s="24" t="s">
        <v>58</v>
      </c>
      <c r="C852" s="34">
        <v>40</v>
      </c>
      <c r="D852" s="52">
        <v>2.24</v>
      </c>
      <c r="E852" s="52">
        <v>0.48</v>
      </c>
      <c r="F852" s="52">
        <v>19.76</v>
      </c>
      <c r="G852" s="52">
        <v>92.8</v>
      </c>
      <c r="H852" s="52">
        <v>0</v>
      </c>
    </row>
    <row r="853" spans="1:8" ht="89.25" thickBot="1">
      <c r="A853" s="54"/>
      <c r="B853" s="26" t="s">
        <v>29</v>
      </c>
      <c r="C853" s="34">
        <f aca="true" t="shared" si="61" ref="C853:H853">C846+C847+C848+C849+C850+C851+C852</f>
        <v>550</v>
      </c>
      <c r="D853" s="48">
        <f t="shared" si="61"/>
        <v>17.339999999999996</v>
      </c>
      <c r="E853" s="48">
        <f t="shared" si="61"/>
        <v>17.14</v>
      </c>
      <c r="F853" s="48">
        <f t="shared" si="61"/>
        <v>69.75</v>
      </c>
      <c r="G853" s="48">
        <f t="shared" si="61"/>
        <v>506.4</v>
      </c>
      <c r="H853" s="48">
        <f t="shared" si="61"/>
        <v>20.509999999999998</v>
      </c>
    </row>
    <row r="854" spans="1:8" ht="89.25" thickBot="1">
      <c r="A854" s="172" t="s">
        <v>145</v>
      </c>
      <c r="B854" s="173"/>
      <c r="C854" s="173"/>
      <c r="D854" s="173"/>
      <c r="E854" s="173"/>
      <c r="F854" s="173"/>
      <c r="G854" s="173"/>
      <c r="H854" s="174"/>
    </row>
    <row r="855" spans="1:8" ht="266.25" thickBot="1">
      <c r="A855" s="55">
        <v>21.1</v>
      </c>
      <c r="B855" s="56" t="s">
        <v>172</v>
      </c>
      <c r="C855" s="51" t="s">
        <v>27</v>
      </c>
      <c r="D855" s="48">
        <v>4.35</v>
      </c>
      <c r="E855" s="48">
        <v>4.8</v>
      </c>
      <c r="F855" s="48">
        <v>6</v>
      </c>
      <c r="G855" s="48">
        <v>88.5</v>
      </c>
      <c r="H855" s="48">
        <v>1.05</v>
      </c>
    </row>
    <row r="856" spans="1:8" ht="89.25" thickBot="1">
      <c r="A856" s="47">
        <v>22</v>
      </c>
      <c r="B856" s="24" t="s">
        <v>222</v>
      </c>
      <c r="C856" s="51" t="s">
        <v>34</v>
      </c>
      <c r="D856" s="52">
        <v>4.97</v>
      </c>
      <c r="E856" s="52">
        <v>6.41</v>
      </c>
      <c r="F856" s="52">
        <v>26.68</v>
      </c>
      <c r="G856" s="52">
        <v>196.28</v>
      </c>
      <c r="H856" s="52">
        <v>0.36</v>
      </c>
    </row>
    <row r="857" spans="1:8" ht="89.25" thickBot="1">
      <c r="A857" s="54"/>
      <c r="B857" s="24" t="s">
        <v>29</v>
      </c>
      <c r="C857" s="34">
        <f aca="true" t="shared" si="62" ref="C857:H857">C855+C856</f>
        <v>210</v>
      </c>
      <c r="D857" s="52">
        <f t="shared" si="62"/>
        <v>9.32</v>
      </c>
      <c r="E857" s="52">
        <f t="shared" si="62"/>
        <v>11.21</v>
      </c>
      <c r="F857" s="52">
        <f t="shared" si="62"/>
        <v>32.68</v>
      </c>
      <c r="G857" s="52">
        <f t="shared" si="62"/>
        <v>284.78</v>
      </c>
      <c r="H857" s="52">
        <f t="shared" si="62"/>
        <v>1.4100000000000001</v>
      </c>
    </row>
    <row r="858" spans="1:8" ht="89.25" thickBot="1">
      <c r="A858" s="172" t="s">
        <v>144</v>
      </c>
      <c r="B858" s="173"/>
      <c r="C858" s="173"/>
      <c r="D858" s="173"/>
      <c r="E858" s="173"/>
      <c r="F858" s="173"/>
      <c r="G858" s="173"/>
      <c r="H858" s="174"/>
    </row>
    <row r="859" spans="1:8" ht="266.25" thickBot="1">
      <c r="A859" s="54">
        <v>94</v>
      </c>
      <c r="B859" s="24" t="s">
        <v>223</v>
      </c>
      <c r="C859" s="51" t="s">
        <v>246</v>
      </c>
      <c r="D859" s="52">
        <v>24.13</v>
      </c>
      <c r="E859" s="52">
        <v>16.25</v>
      </c>
      <c r="F859" s="52">
        <v>34.53</v>
      </c>
      <c r="G859" s="52">
        <v>397</v>
      </c>
      <c r="H859" s="52">
        <v>1.11</v>
      </c>
    </row>
    <row r="860" spans="1:8" ht="89.25" thickBot="1">
      <c r="A860" s="54">
        <v>13</v>
      </c>
      <c r="B860" s="50" t="s">
        <v>7</v>
      </c>
      <c r="C860" s="34">
        <v>180</v>
      </c>
      <c r="D860" s="52">
        <v>0</v>
      </c>
      <c r="E860" s="52">
        <v>0</v>
      </c>
      <c r="F860" s="52">
        <v>10.78</v>
      </c>
      <c r="G860" s="52">
        <v>36</v>
      </c>
      <c r="H860" s="52">
        <v>0</v>
      </c>
    </row>
    <row r="861" spans="1:8" ht="177.75" thickBot="1">
      <c r="A861" s="47">
        <v>69</v>
      </c>
      <c r="B861" s="24" t="s">
        <v>106</v>
      </c>
      <c r="C861" s="51" t="s">
        <v>253</v>
      </c>
      <c r="D861" s="52">
        <v>0.34</v>
      </c>
      <c r="E861" s="52">
        <v>0.34</v>
      </c>
      <c r="F861" s="52">
        <v>8.33</v>
      </c>
      <c r="G861" s="52">
        <v>39.95</v>
      </c>
      <c r="H861" s="52">
        <v>8.5</v>
      </c>
    </row>
    <row r="862" spans="1:8" ht="89.25" thickBot="1">
      <c r="A862" s="42"/>
      <c r="B862" s="24" t="s">
        <v>6</v>
      </c>
      <c r="C862" s="34">
        <f aca="true" t="shared" si="63" ref="C862:H862">C859+C860+C861</f>
        <v>440</v>
      </c>
      <c r="D862" s="52">
        <f t="shared" si="63"/>
        <v>24.47</v>
      </c>
      <c r="E862" s="52">
        <f t="shared" si="63"/>
        <v>16.59</v>
      </c>
      <c r="F862" s="52">
        <f t="shared" si="63"/>
        <v>53.64</v>
      </c>
      <c r="G862" s="52">
        <f t="shared" si="63"/>
        <v>472.95</v>
      </c>
      <c r="H862" s="52">
        <f t="shared" si="63"/>
        <v>9.61</v>
      </c>
    </row>
    <row r="863" spans="1:8" ht="89.25" thickBot="1">
      <c r="A863" s="47"/>
      <c r="B863" s="24"/>
      <c r="C863" s="51"/>
      <c r="D863" s="40" t="s">
        <v>0</v>
      </c>
      <c r="E863" s="41" t="s">
        <v>1</v>
      </c>
      <c r="F863" s="41" t="s">
        <v>2</v>
      </c>
      <c r="G863" s="149" t="s">
        <v>3</v>
      </c>
      <c r="H863" s="41" t="s">
        <v>4</v>
      </c>
    </row>
    <row r="864" spans="1:8" ht="89.25" thickBot="1">
      <c r="A864" s="47"/>
      <c r="B864" s="58" t="s">
        <v>10</v>
      </c>
      <c r="C864" s="51"/>
      <c r="D864" s="52">
        <f>D841+D844+D853+D857+D862</f>
        <v>60.709999999999994</v>
      </c>
      <c r="E864" s="52">
        <f>E841+E844+E853+E857+E862</f>
        <v>57.120000000000005</v>
      </c>
      <c r="F864" s="52">
        <f>F841+F844+F853+F857+F862</f>
        <v>209.94</v>
      </c>
      <c r="G864" s="52">
        <f>G841+G844+G853+G857+G862</f>
        <v>1628.1299999999999</v>
      </c>
      <c r="H864" s="52">
        <f>H841+H844+H853+H857+H862</f>
        <v>36.17</v>
      </c>
    </row>
    <row r="865" spans="1:8" ht="176.25" thickBot="1">
      <c r="A865" s="47"/>
      <c r="B865" s="58" t="s">
        <v>11</v>
      </c>
      <c r="C865" s="51"/>
      <c r="D865" s="52">
        <v>42</v>
      </c>
      <c r="E865" s="52">
        <v>47</v>
      </c>
      <c r="F865" s="52">
        <v>203</v>
      </c>
      <c r="G865" s="52">
        <v>1400</v>
      </c>
      <c r="H865" s="52">
        <v>45</v>
      </c>
    </row>
    <row r="866" spans="1:8" ht="350.25" thickBot="1">
      <c r="A866" s="42"/>
      <c r="B866" s="59" t="s">
        <v>12</v>
      </c>
      <c r="C866" s="41"/>
      <c r="D866" s="60">
        <f>D864*100/D865</f>
        <v>144.54761904761904</v>
      </c>
      <c r="E866" s="60">
        <f>E864*100/E865</f>
        <v>121.53191489361703</v>
      </c>
      <c r="F866" s="60">
        <f>F864*100/F865</f>
        <v>103.41871921182266</v>
      </c>
      <c r="G866" s="60">
        <f>G864*100/G865</f>
        <v>116.295</v>
      </c>
      <c r="H866" s="60">
        <f>H864*100/H865</f>
        <v>80.37777777777778</v>
      </c>
    </row>
    <row r="867" spans="1:8" ht="88.5">
      <c r="A867" s="61"/>
      <c r="B867" s="147"/>
      <c r="C867" s="146"/>
      <c r="D867" s="62"/>
      <c r="E867" s="62"/>
      <c r="F867" s="62"/>
      <c r="G867" s="62"/>
      <c r="H867" s="62"/>
    </row>
    <row r="868" spans="1:8" ht="88.5">
      <c r="A868" s="61"/>
      <c r="B868" s="38" t="s">
        <v>68</v>
      </c>
      <c r="C868" s="38"/>
      <c r="E868" s="62"/>
      <c r="F868" s="62"/>
      <c r="G868" s="62"/>
      <c r="H868" s="62"/>
    </row>
    <row r="869" spans="1:2" ht="102">
      <c r="A869" s="61"/>
      <c r="B869" s="38" t="s">
        <v>271</v>
      </c>
    </row>
    <row r="870" spans="1:2" ht="88.5">
      <c r="A870" s="61"/>
      <c r="B870" s="38" t="s">
        <v>67</v>
      </c>
    </row>
    <row r="871" spans="1:2" ht="89.25" thickBot="1">
      <c r="A871" s="61"/>
      <c r="B871" s="38" t="s">
        <v>149</v>
      </c>
    </row>
    <row r="872" spans="1:8" ht="234" customHeight="1" thickBot="1">
      <c r="A872" s="172" t="s">
        <v>65</v>
      </c>
      <c r="B872" s="173"/>
      <c r="C872" s="173"/>
      <c r="D872" s="173"/>
      <c r="E872" s="173"/>
      <c r="F872" s="173"/>
      <c r="G872" s="173"/>
      <c r="H872" s="174"/>
    </row>
    <row r="873" spans="1:8" ht="89.25" thickBot="1">
      <c r="A873" s="197"/>
      <c r="B873" s="177"/>
      <c r="C873" s="191"/>
      <c r="D873" s="193" t="s">
        <v>24</v>
      </c>
      <c r="E873" s="194"/>
      <c r="F873" s="195"/>
      <c r="G873" s="196" t="s">
        <v>51</v>
      </c>
      <c r="H873" s="180" t="s">
        <v>112</v>
      </c>
    </row>
    <row r="874" spans="1:8" ht="89.25" thickBot="1">
      <c r="A874" s="198"/>
      <c r="B874" s="194"/>
      <c r="C874" s="192"/>
      <c r="D874" s="40" t="s">
        <v>0</v>
      </c>
      <c r="E874" s="41" t="s">
        <v>1</v>
      </c>
      <c r="F874" s="41" t="s">
        <v>2</v>
      </c>
      <c r="G874" s="181"/>
      <c r="H874" s="181"/>
    </row>
    <row r="875" spans="1:8" ht="89.25" thickBot="1">
      <c r="A875" s="188" t="s">
        <v>98</v>
      </c>
      <c r="B875" s="189"/>
      <c r="C875" s="190"/>
      <c r="D875" s="48">
        <f>D38+D81+D126+D170+D212+D257+D301+D344+D387+D431+D474+D519+D560+D605+D647+D691+D735+D780+D822+D864</f>
        <v>1036.9099999999999</v>
      </c>
      <c r="E875" s="48">
        <f>E38+E81+E126+E170+E212+E257+E301+E344+E387+E431+E474+E519+E560+E605+E647+E691+E735+E780+E822+E864</f>
        <v>995.3200000000002</v>
      </c>
      <c r="F875" s="48">
        <f>F38+F81+F126+F170+F212+F257+F301+F344+F387+F431+F474+F519+F560+F605+F647+F691+F735+F780+F822+F864</f>
        <v>4250.88</v>
      </c>
      <c r="G875" s="48">
        <f>G38+G81+G126+G170+G212+G257+G301+G344+G387+G431+G474+G519+G560+G605+G647+G691+G735+G780+G822+G864</f>
        <v>30735.269999999997</v>
      </c>
      <c r="H875" s="48">
        <f>H38+H81+H126+H170+H212+H257+H301+H344+H387+H431+H474+H519+H560+H605+H647+H691+H735+H780+H822+H864</f>
        <v>1059.57</v>
      </c>
    </row>
    <row r="876" spans="1:8" ht="89.25" thickBot="1">
      <c r="A876" s="188" t="s">
        <v>33</v>
      </c>
      <c r="B876" s="189"/>
      <c r="C876" s="190"/>
      <c r="D876" s="52">
        <f>D875/20</f>
        <v>51.845499999999994</v>
      </c>
      <c r="E876" s="52">
        <f>E875/20</f>
        <v>49.766000000000005</v>
      </c>
      <c r="F876" s="52">
        <f>F875/20</f>
        <v>212.544</v>
      </c>
      <c r="G876" s="52">
        <f>G875/20</f>
        <v>1536.7634999999998</v>
      </c>
      <c r="H876" s="52">
        <f>H875/20</f>
        <v>52.9785</v>
      </c>
    </row>
    <row r="877" spans="1:8" ht="89.25" thickBot="1">
      <c r="A877" s="188" t="s">
        <v>11</v>
      </c>
      <c r="B877" s="189"/>
      <c r="C877" s="190"/>
      <c r="D877" s="52">
        <v>42</v>
      </c>
      <c r="E877" s="52">
        <v>47</v>
      </c>
      <c r="F877" s="52">
        <v>203</v>
      </c>
      <c r="G877" s="52">
        <v>1400</v>
      </c>
      <c r="H877" s="52">
        <v>45</v>
      </c>
    </row>
    <row r="878" spans="1:8" ht="89.25" thickBot="1">
      <c r="A878" s="188" t="s">
        <v>12</v>
      </c>
      <c r="B878" s="189"/>
      <c r="C878" s="190"/>
      <c r="D878" s="52">
        <f>D876*100/D877</f>
        <v>123.44166666666665</v>
      </c>
      <c r="E878" s="52">
        <f>E876*100/E877</f>
        <v>105.88510638297873</v>
      </c>
      <c r="F878" s="52">
        <f>F876*100/F877</f>
        <v>104.70147783251232</v>
      </c>
      <c r="G878" s="52">
        <f>G876*100/G877</f>
        <v>109.76882142857141</v>
      </c>
      <c r="H878" s="52">
        <f>H876*100/H877</f>
        <v>117.72999999999999</v>
      </c>
    </row>
    <row r="879" spans="1:8" ht="89.25" thickBot="1">
      <c r="A879" s="188" t="s">
        <v>141</v>
      </c>
      <c r="B879" s="189"/>
      <c r="C879" s="190"/>
      <c r="D879" s="52">
        <f>D878-100</f>
        <v>23.44166666666665</v>
      </c>
      <c r="E879" s="52">
        <f>E878-100</f>
        <v>5.885106382978734</v>
      </c>
      <c r="F879" s="52">
        <f>F878-100</f>
        <v>4.7014778325123245</v>
      </c>
      <c r="G879" s="52">
        <f>G878-100</f>
        <v>9.768821428571414</v>
      </c>
      <c r="H879" s="52">
        <f>H878-100</f>
        <v>17.72999999999999</v>
      </c>
    </row>
    <row r="880" spans="1:8" ht="88.5">
      <c r="A880" s="147"/>
      <c r="B880" s="147"/>
      <c r="C880" s="147"/>
      <c r="D880" s="62"/>
      <c r="E880" s="62"/>
      <c r="F880" s="62"/>
      <c r="G880" s="62"/>
      <c r="H880" s="62"/>
    </row>
  </sheetData>
  <sheetProtection/>
  <mergeCells count="310">
    <mergeCell ref="H873:H874"/>
    <mergeCell ref="H314:H315"/>
    <mergeCell ref="H357:H358"/>
    <mergeCell ref="H400:H401"/>
    <mergeCell ref="H443:H444"/>
    <mergeCell ref="H487:H488"/>
    <mergeCell ref="H531:H532"/>
    <mergeCell ref="A490:H490"/>
    <mergeCell ref="A873:A874"/>
    <mergeCell ref="B873:B874"/>
    <mergeCell ref="H49:H50"/>
    <mergeCell ref="H93:H94"/>
    <mergeCell ref="H139:H140"/>
    <mergeCell ref="H183:H184"/>
    <mergeCell ref="H225:H226"/>
    <mergeCell ref="H270:H271"/>
    <mergeCell ref="A267:H267"/>
    <mergeCell ref="A268:H268"/>
    <mergeCell ref="A269:H269"/>
    <mergeCell ref="A270:A271"/>
    <mergeCell ref="C873:C874"/>
    <mergeCell ref="D873:F873"/>
    <mergeCell ref="G873:G874"/>
    <mergeCell ref="A495:H495"/>
    <mergeCell ref="A498:H498"/>
    <mergeCell ref="A512:H512"/>
    <mergeCell ref="A527:H527"/>
    <mergeCell ref="A528:H528"/>
    <mergeCell ref="A529:H529"/>
    <mergeCell ref="A530:H530"/>
    <mergeCell ref="A423:H423"/>
    <mergeCell ref="A485:H485"/>
    <mergeCell ref="A439:H439"/>
    <mergeCell ref="A440:H440"/>
    <mergeCell ref="A441:H441"/>
    <mergeCell ref="A442:H442"/>
    <mergeCell ref="A443:A444"/>
    <mergeCell ref="A446:H446"/>
    <mergeCell ref="A452:H452"/>
    <mergeCell ref="A455:H455"/>
    <mergeCell ref="A397:H397"/>
    <mergeCell ref="A380:H380"/>
    <mergeCell ref="A396:H396"/>
    <mergeCell ref="A403:H403"/>
    <mergeCell ref="A408:H408"/>
    <mergeCell ref="A411:H411"/>
    <mergeCell ref="A399:H399"/>
    <mergeCell ref="A400:A401"/>
    <mergeCell ref="B400:B401"/>
    <mergeCell ref="C400:C401"/>
    <mergeCell ref="D400:F400"/>
    <mergeCell ref="G400:G401"/>
    <mergeCell ref="A398:H398"/>
    <mergeCell ref="A356:H356"/>
    <mergeCell ref="A357:A358"/>
    <mergeCell ref="B357:B358"/>
    <mergeCell ref="C357:C358"/>
    <mergeCell ref="D357:F357"/>
    <mergeCell ref="G357:G358"/>
    <mergeCell ref="A360:H360"/>
    <mergeCell ref="A365:H365"/>
    <mergeCell ref="A368:H368"/>
    <mergeCell ref="A314:A315"/>
    <mergeCell ref="B314:B315"/>
    <mergeCell ref="C314:C315"/>
    <mergeCell ref="D314:F314"/>
    <mergeCell ref="G314:G315"/>
    <mergeCell ref="A353:H353"/>
    <mergeCell ref="A317:H317"/>
    <mergeCell ref="A322:H322"/>
    <mergeCell ref="A325:H325"/>
    <mergeCell ref="A337:H337"/>
    <mergeCell ref="A273:H273"/>
    <mergeCell ref="A278:H278"/>
    <mergeCell ref="A310:H310"/>
    <mergeCell ref="A311:H311"/>
    <mergeCell ref="A312:H312"/>
    <mergeCell ref="A313:H313"/>
    <mergeCell ref="A281:H281"/>
    <mergeCell ref="A294:H294"/>
    <mergeCell ref="D270:F270"/>
    <mergeCell ref="G270:G271"/>
    <mergeCell ref="B270:B271"/>
    <mergeCell ref="C270:C271"/>
    <mergeCell ref="A234:H234"/>
    <mergeCell ref="A237:H237"/>
    <mergeCell ref="A250:H250"/>
    <mergeCell ref="D225:F225"/>
    <mergeCell ref="G225:G226"/>
    <mergeCell ref="A266:H266"/>
    <mergeCell ref="A223:H223"/>
    <mergeCell ref="A224:H224"/>
    <mergeCell ref="A225:A226"/>
    <mergeCell ref="B225:B226"/>
    <mergeCell ref="C225:C226"/>
    <mergeCell ref="A228:H228"/>
    <mergeCell ref="A194:H194"/>
    <mergeCell ref="A206:H206"/>
    <mergeCell ref="A182:H182"/>
    <mergeCell ref="A183:A184"/>
    <mergeCell ref="B183:B184"/>
    <mergeCell ref="C183:C184"/>
    <mergeCell ref="D183:F183"/>
    <mergeCell ref="D93:F93"/>
    <mergeCell ref="A136:H136"/>
    <mergeCell ref="A137:H137"/>
    <mergeCell ref="B139:B140"/>
    <mergeCell ref="C139:C140"/>
    <mergeCell ref="D139:F139"/>
    <mergeCell ref="G139:G140"/>
    <mergeCell ref="A138:H138"/>
    <mergeCell ref="A139:A140"/>
    <mergeCell ref="G49:G50"/>
    <mergeCell ref="A49:A50"/>
    <mergeCell ref="B49:B50"/>
    <mergeCell ref="C49:C50"/>
    <mergeCell ref="A135:H135"/>
    <mergeCell ref="A96:H96"/>
    <mergeCell ref="A101:H101"/>
    <mergeCell ref="A104:H104"/>
    <mergeCell ref="A118:H118"/>
    <mergeCell ref="A90:H90"/>
    <mergeCell ref="A46:H46"/>
    <mergeCell ref="A47:H47"/>
    <mergeCell ref="A92:H92"/>
    <mergeCell ref="A9:H9"/>
    <mergeCell ref="A15:H15"/>
    <mergeCell ref="A18:H18"/>
    <mergeCell ref="A31:H31"/>
    <mergeCell ref="A45:H45"/>
    <mergeCell ref="A48:H48"/>
    <mergeCell ref="D49:F49"/>
    <mergeCell ref="A2:H2"/>
    <mergeCell ref="A3:H3"/>
    <mergeCell ref="A4:H4"/>
    <mergeCell ref="A6:A7"/>
    <mergeCell ref="B6:B7"/>
    <mergeCell ref="C6:C7"/>
    <mergeCell ref="D6:F6"/>
    <mergeCell ref="G6:G7"/>
    <mergeCell ref="H6:H7"/>
    <mergeCell ref="A52:H52"/>
    <mergeCell ref="A57:H57"/>
    <mergeCell ref="A60:H60"/>
    <mergeCell ref="A73:H73"/>
    <mergeCell ref="A89:H89"/>
    <mergeCell ref="A93:A94"/>
    <mergeCell ref="G93:G94"/>
    <mergeCell ref="A91:H91"/>
    <mergeCell ref="B93:B94"/>
    <mergeCell ref="C93:C94"/>
    <mergeCell ref="A354:H354"/>
    <mergeCell ref="A355:H355"/>
    <mergeCell ref="A179:H179"/>
    <mergeCell ref="A180:H180"/>
    <mergeCell ref="A181:H181"/>
    <mergeCell ref="G183:G184"/>
    <mergeCell ref="A221:H221"/>
    <mergeCell ref="A222:H222"/>
    <mergeCell ref="A186:H186"/>
    <mergeCell ref="A191:H191"/>
    <mergeCell ref="D487:F487"/>
    <mergeCell ref="G487:G488"/>
    <mergeCell ref="A467:H467"/>
    <mergeCell ref="B443:B444"/>
    <mergeCell ref="C443:C444"/>
    <mergeCell ref="D443:F443"/>
    <mergeCell ref="G443:G444"/>
    <mergeCell ref="A483:H483"/>
    <mergeCell ref="A534:H534"/>
    <mergeCell ref="A539:H539"/>
    <mergeCell ref="A542:H542"/>
    <mergeCell ref="A554:H554"/>
    <mergeCell ref="A531:A532"/>
    <mergeCell ref="B531:B532"/>
    <mergeCell ref="C531:C532"/>
    <mergeCell ref="D531:F531"/>
    <mergeCell ref="G531:G532"/>
    <mergeCell ref="A550:H550"/>
    <mergeCell ref="A569:H569"/>
    <mergeCell ref="A570:H570"/>
    <mergeCell ref="A571:H571"/>
    <mergeCell ref="A572:H572"/>
    <mergeCell ref="A573:A574"/>
    <mergeCell ref="B573:B574"/>
    <mergeCell ref="C573:C574"/>
    <mergeCell ref="D573:F573"/>
    <mergeCell ref="G573:G574"/>
    <mergeCell ref="H573:H574"/>
    <mergeCell ref="A576:H576"/>
    <mergeCell ref="A581:H581"/>
    <mergeCell ref="A584:H584"/>
    <mergeCell ref="A597:H597"/>
    <mergeCell ref="H617:H618"/>
    <mergeCell ref="A593:H593"/>
    <mergeCell ref="A613:H613"/>
    <mergeCell ref="A614:H614"/>
    <mergeCell ref="A615:H615"/>
    <mergeCell ref="A616:H616"/>
    <mergeCell ref="A617:A618"/>
    <mergeCell ref="B617:B618"/>
    <mergeCell ref="C617:C618"/>
    <mergeCell ref="D617:F617"/>
    <mergeCell ref="G617:G618"/>
    <mergeCell ref="B659:B660"/>
    <mergeCell ref="C659:C660"/>
    <mergeCell ref="D659:F659"/>
    <mergeCell ref="G659:G660"/>
    <mergeCell ref="H659:H660"/>
    <mergeCell ref="A620:H620"/>
    <mergeCell ref="A625:H625"/>
    <mergeCell ref="A628:H628"/>
    <mergeCell ref="A640:H640"/>
    <mergeCell ref="A662:H662"/>
    <mergeCell ref="A636:H636"/>
    <mergeCell ref="A668:H668"/>
    <mergeCell ref="A671:H671"/>
    <mergeCell ref="A684:H684"/>
    <mergeCell ref="H703:H704"/>
    <mergeCell ref="A655:H655"/>
    <mergeCell ref="A656:H656"/>
    <mergeCell ref="A657:H657"/>
    <mergeCell ref="A658:H658"/>
    <mergeCell ref="A659:A660"/>
    <mergeCell ref="A699:H699"/>
    <mergeCell ref="A700:H700"/>
    <mergeCell ref="A701:H701"/>
    <mergeCell ref="A702:H702"/>
    <mergeCell ref="A703:A704"/>
    <mergeCell ref="B703:B704"/>
    <mergeCell ref="C703:C704"/>
    <mergeCell ref="D703:F703"/>
    <mergeCell ref="G703:G704"/>
    <mergeCell ref="B747:B748"/>
    <mergeCell ref="C747:C748"/>
    <mergeCell ref="D747:F747"/>
    <mergeCell ref="G747:G748"/>
    <mergeCell ref="H747:H748"/>
    <mergeCell ref="A706:H706"/>
    <mergeCell ref="A711:H711"/>
    <mergeCell ref="A714:H714"/>
    <mergeCell ref="A727:H727"/>
    <mergeCell ref="A750:H750"/>
    <mergeCell ref="A755:H755"/>
    <mergeCell ref="A758:H758"/>
    <mergeCell ref="A772:H772"/>
    <mergeCell ref="H792:H793"/>
    <mergeCell ref="A743:H743"/>
    <mergeCell ref="A744:H744"/>
    <mergeCell ref="A745:H745"/>
    <mergeCell ref="A746:H746"/>
    <mergeCell ref="A747:A748"/>
    <mergeCell ref="A788:H788"/>
    <mergeCell ref="A789:H789"/>
    <mergeCell ref="A790:H790"/>
    <mergeCell ref="A791:H791"/>
    <mergeCell ref="A792:A793"/>
    <mergeCell ref="B792:B793"/>
    <mergeCell ref="C792:C793"/>
    <mergeCell ref="D792:F792"/>
    <mergeCell ref="G792:G793"/>
    <mergeCell ref="C834:C835"/>
    <mergeCell ref="D834:F834"/>
    <mergeCell ref="G834:G835"/>
    <mergeCell ref="H834:H835"/>
    <mergeCell ref="A795:H795"/>
    <mergeCell ref="A800:H800"/>
    <mergeCell ref="A803:H803"/>
    <mergeCell ref="A815:H815"/>
    <mergeCell ref="A830:H830"/>
    <mergeCell ref="A875:C875"/>
    <mergeCell ref="A876:C876"/>
    <mergeCell ref="A877:C877"/>
    <mergeCell ref="A878:C878"/>
    <mergeCell ref="A879:C879"/>
    <mergeCell ref="A837:H837"/>
    <mergeCell ref="A842:H842"/>
    <mergeCell ref="A845:H845"/>
    <mergeCell ref="A858:H858"/>
    <mergeCell ref="A872:H872"/>
    <mergeCell ref="A27:H27"/>
    <mergeCell ref="A69:H69"/>
    <mergeCell ref="A114:H114"/>
    <mergeCell ref="A159:H159"/>
    <mergeCell ref="A202:H202"/>
    <mergeCell ref="A246:H246"/>
    <mergeCell ref="A150:H150"/>
    <mergeCell ref="A163:H163"/>
    <mergeCell ref="A142:H142"/>
    <mergeCell ref="A147:H147"/>
    <mergeCell ref="A290:H290"/>
    <mergeCell ref="A333:H333"/>
    <mergeCell ref="A376:H376"/>
    <mergeCell ref="A419:H419"/>
    <mergeCell ref="A463:H463"/>
    <mergeCell ref="A508:H508"/>
    <mergeCell ref="A484:H484"/>
    <mergeCell ref="A487:A488"/>
    <mergeCell ref="B487:B488"/>
    <mergeCell ref="C487:C488"/>
    <mergeCell ref="A680:H680"/>
    <mergeCell ref="A723:H723"/>
    <mergeCell ref="A768:H768"/>
    <mergeCell ref="A811:H811"/>
    <mergeCell ref="A854:H854"/>
    <mergeCell ref="A831:H831"/>
    <mergeCell ref="A832:H832"/>
    <mergeCell ref="A833:H833"/>
    <mergeCell ref="A834:A835"/>
    <mergeCell ref="B834:B835"/>
  </mergeCells>
  <printOptions/>
  <pageMargins left="0.7480314960629921" right="0.7480314960629921" top="0.984251968503937" bottom="0.984251968503937" header="0.52" footer="0.5118110236220472"/>
  <pageSetup fitToHeight="29" horizontalDpi="600" verticalDpi="600" orientation="portrait" paperSize="9" scale="13" r:id="rId1"/>
  <rowBreaks count="20" manualBreakCount="20">
    <brk id="44" max="7" man="1"/>
    <brk id="88" max="7" man="1"/>
    <brk id="134" max="7" man="1"/>
    <brk id="178" max="7" man="1"/>
    <brk id="220" max="7" man="1"/>
    <brk id="265" max="7" man="1"/>
    <brk id="309" max="7" man="1"/>
    <brk id="352" max="7" man="1"/>
    <brk id="395" max="7" man="1"/>
    <brk id="438" max="7" man="1"/>
    <brk id="482" max="7" man="1"/>
    <brk id="526" max="7" man="1"/>
    <brk id="568" max="7" man="1"/>
    <brk id="612" max="7" man="1"/>
    <brk id="654" max="7" man="1"/>
    <brk id="698" max="7" man="1"/>
    <brk id="742" max="7" man="1"/>
    <brk id="787" max="7" man="1"/>
    <brk id="829" max="7" man="1"/>
    <brk id="871" max="7" man="1"/>
  </rowBreaks>
  <colBreaks count="1" manualBreakCount="1">
    <brk id="8" max="8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I710"/>
  <sheetViews>
    <sheetView view="pageBreakPreview" zoomScale="25" zoomScaleSheetLayoutView="25" zoomScalePageLayoutView="0" workbookViewId="0" topLeftCell="A517">
      <selection activeCell="B527" sqref="B527"/>
    </sheetView>
  </sheetViews>
  <sheetFormatPr defaultColWidth="9.140625" defaultRowHeight="12.75"/>
  <cols>
    <col min="1" max="1" width="35.8515625" style="118" customWidth="1"/>
    <col min="2" max="2" width="136.28125" style="13" customWidth="1"/>
    <col min="3" max="4" width="28.7109375" style="118" customWidth="1"/>
    <col min="5" max="5" width="26.7109375" style="118" customWidth="1"/>
    <col min="6" max="6" width="28.57421875" style="118" customWidth="1"/>
    <col min="7" max="7" width="33.140625" style="118" customWidth="1"/>
    <col min="8" max="8" width="35.421875" style="118" customWidth="1"/>
    <col min="9" max="9" width="28.421875" style="118" customWidth="1"/>
    <col min="10" max="10" width="31.421875" style="118" customWidth="1"/>
    <col min="11" max="11" width="30.8515625" style="118" customWidth="1"/>
    <col min="12" max="12" width="45.140625" style="118" customWidth="1"/>
    <col min="13" max="13" width="35.140625" style="118" customWidth="1"/>
    <col min="14" max="14" width="32.8515625" style="118" customWidth="1"/>
    <col min="15" max="15" width="32.140625" style="118" customWidth="1"/>
    <col min="16" max="16" width="28.28125" style="118" customWidth="1"/>
    <col min="17" max="17" width="33.7109375" style="118" customWidth="1"/>
    <col min="18" max="18" width="38.7109375" style="118" customWidth="1"/>
    <col min="19" max="19" width="30.421875" style="118" customWidth="1"/>
    <col min="20" max="20" width="34.8515625" style="118" customWidth="1"/>
    <col min="21" max="21" width="29.8515625" style="118" customWidth="1"/>
    <col min="22" max="22" width="34.421875" style="118" customWidth="1"/>
    <col min="23" max="23" width="27.7109375" style="118" customWidth="1"/>
    <col min="24" max="24" width="28.57421875" style="118" customWidth="1"/>
    <col min="25" max="25" width="27.8515625" style="118" customWidth="1"/>
    <col min="26" max="26" width="28.28125" style="118" customWidth="1"/>
    <col min="27" max="28" width="29.57421875" style="118" customWidth="1"/>
    <col min="29" max="29" width="27.8515625" style="118" customWidth="1"/>
    <col min="30" max="30" width="35.421875" style="118" customWidth="1"/>
    <col min="31" max="31" width="34.421875" style="119" customWidth="1"/>
    <col min="32" max="32" width="13.7109375" style="13" bestFit="1" customWidth="1"/>
    <col min="33" max="33" width="9.140625" style="13" customWidth="1"/>
    <col min="34" max="34" width="10.8515625" style="13" bestFit="1" customWidth="1"/>
    <col min="35" max="16384" width="9.140625" style="13" customWidth="1"/>
  </cols>
  <sheetData>
    <row r="1" spans="1:31" ht="64.5">
      <c r="A1" s="170" t="s">
        <v>71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</row>
    <row r="2" spans="1:31" ht="65.25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</row>
    <row r="3" spans="1:31" ht="65.25" thickBot="1">
      <c r="A3" s="150" t="s">
        <v>40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2"/>
    </row>
    <row r="4" spans="1:31" ht="65.25" thickBot="1">
      <c r="A4" s="150" t="s">
        <v>161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</row>
    <row r="5" spans="1:31" ht="46.5" customHeight="1">
      <c r="A5" s="166" t="s">
        <v>30</v>
      </c>
      <c r="B5" s="168" t="s">
        <v>23</v>
      </c>
      <c r="C5" s="153" t="s">
        <v>116</v>
      </c>
      <c r="D5" s="153" t="s">
        <v>117</v>
      </c>
      <c r="E5" s="153" t="s">
        <v>130</v>
      </c>
      <c r="F5" s="153" t="s">
        <v>119</v>
      </c>
      <c r="G5" s="153" t="s">
        <v>131</v>
      </c>
      <c r="H5" s="153" t="s">
        <v>132</v>
      </c>
      <c r="I5" s="153" t="s">
        <v>110</v>
      </c>
      <c r="J5" s="153" t="s">
        <v>257</v>
      </c>
      <c r="K5" s="140"/>
      <c r="L5" s="140"/>
      <c r="M5" s="153" t="s">
        <v>142</v>
      </c>
      <c r="N5" s="153" t="s">
        <v>79</v>
      </c>
      <c r="O5" s="153" t="s">
        <v>139</v>
      </c>
      <c r="P5" s="153" t="s">
        <v>80</v>
      </c>
      <c r="Q5" s="153" t="s">
        <v>124</v>
      </c>
      <c r="R5" s="153" t="s">
        <v>81</v>
      </c>
      <c r="S5" s="153" t="s">
        <v>134</v>
      </c>
      <c r="T5" s="153" t="s">
        <v>135</v>
      </c>
      <c r="U5" s="153" t="s">
        <v>136</v>
      </c>
      <c r="V5" s="140"/>
      <c r="W5" s="153" t="s">
        <v>113</v>
      </c>
      <c r="X5" s="153" t="s">
        <v>129</v>
      </c>
      <c r="Y5" s="153" t="s">
        <v>84</v>
      </c>
      <c r="Z5" s="153" t="s">
        <v>82</v>
      </c>
      <c r="AA5" s="153" t="s">
        <v>83</v>
      </c>
      <c r="AB5" s="153" t="s">
        <v>85</v>
      </c>
      <c r="AC5" s="140"/>
      <c r="AD5" s="158" t="s">
        <v>78</v>
      </c>
      <c r="AE5" s="153" t="s">
        <v>137</v>
      </c>
    </row>
    <row r="6" spans="1:31" ht="409.5" thickBot="1">
      <c r="A6" s="167"/>
      <c r="B6" s="169"/>
      <c r="C6" s="154"/>
      <c r="D6" s="154"/>
      <c r="E6" s="154"/>
      <c r="F6" s="154"/>
      <c r="G6" s="154"/>
      <c r="H6" s="154"/>
      <c r="I6" s="154"/>
      <c r="J6" s="154"/>
      <c r="K6" s="141" t="s">
        <v>133</v>
      </c>
      <c r="L6" s="141" t="s">
        <v>143</v>
      </c>
      <c r="M6" s="154"/>
      <c r="N6" s="154"/>
      <c r="O6" s="154"/>
      <c r="P6" s="154"/>
      <c r="Q6" s="154"/>
      <c r="R6" s="154"/>
      <c r="S6" s="154"/>
      <c r="T6" s="154"/>
      <c r="U6" s="154"/>
      <c r="V6" s="141" t="s">
        <v>140</v>
      </c>
      <c r="W6" s="154"/>
      <c r="X6" s="154"/>
      <c r="Y6" s="154"/>
      <c r="Z6" s="154"/>
      <c r="AA6" s="154"/>
      <c r="AB6" s="154"/>
      <c r="AC6" s="141" t="s">
        <v>77</v>
      </c>
      <c r="AD6" s="159"/>
      <c r="AE6" s="154"/>
    </row>
    <row r="7" spans="1:31" s="82" customFormat="1" ht="65.25" thickBot="1">
      <c r="A7" s="145">
        <v>1</v>
      </c>
      <c r="B7" s="79">
        <v>2</v>
      </c>
      <c r="C7" s="80" t="s">
        <v>54</v>
      </c>
      <c r="D7" s="81">
        <v>4</v>
      </c>
      <c r="E7" s="80">
        <v>5</v>
      </c>
      <c r="F7" s="80"/>
      <c r="G7" s="80">
        <v>7</v>
      </c>
      <c r="H7" s="80">
        <v>8</v>
      </c>
      <c r="I7" s="80" t="s">
        <v>55</v>
      </c>
      <c r="J7" s="81">
        <v>10</v>
      </c>
      <c r="K7" s="80">
        <v>11</v>
      </c>
      <c r="L7" s="108">
        <v>12</v>
      </c>
      <c r="M7" s="80">
        <v>13</v>
      </c>
      <c r="N7" s="80">
        <v>14</v>
      </c>
      <c r="O7" s="80">
        <v>15</v>
      </c>
      <c r="P7" s="80">
        <v>16</v>
      </c>
      <c r="Q7" s="143">
        <v>17</v>
      </c>
      <c r="R7" s="80">
        <v>18</v>
      </c>
      <c r="S7" s="143">
        <v>19</v>
      </c>
      <c r="T7" s="80">
        <v>20</v>
      </c>
      <c r="U7" s="143">
        <v>21</v>
      </c>
      <c r="V7" s="143">
        <v>22</v>
      </c>
      <c r="W7" s="80">
        <v>23</v>
      </c>
      <c r="X7" s="80">
        <v>24</v>
      </c>
      <c r="Y7" s="143">
        <v>25</v>
      </c>
      <c r="Z7" s="80">
        <v>26</v>
      </c>
      <c r="AA7" s="80">
        <v>27</v>
      </c>
      <c r="AB7" s="80">
        <v>28</v>
      </c>
      <c r="AC7" s="143">
        <v>29</v>
      </c>
      <c r="AD7" s="142">
        <v>30</v>
      </c>
      <c r="AE7" s="80">
        <v>32</v>
      </c>
    </row>
    <row r="8" spans="1:31" ht="65.25" thickBot="1">
      <c r="A8" s="150" t="s">
        <v>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/>
    </row>
    <row r="9" spans="1:31" ht="129.75" thickBot="1">
      <c r="A9" s="84">
        <v>85</v>
      </c>
      <c r="B9" s="25" t="s">
        <v>103</v>
      </c>
      <c r="C9" s="84"/>
      <c r="D9" s="85"/>
      <c r="E9" s="85"/>
      <c r="F9" s="85"/>
      <c r="G9" s="85"/>
      <c r="H9" s="86">
        <v>53</v>
      </c>
      <c r="I9" s="86"/>
      <c r="J9" s="86"/>
      <c r="K9" s="86"/>
      <c r="L9" s="86"/>
      <c r="M9" s="86"/>
      <c r="N9" s="86"/>
      <c r="O9" s="87"/>
      <c r="P9" s="84"/>
      <c r="Q9" s="87">
        <v>6</v>
      </c>
      <c r="R9" s="84"/>
      <c r="S9" s="87"/>
      <c r="T9" s="84"/>
      <c r="U9" s="87"/>
      <c r="V9" s="84"/>
      <c r="W9" s="84"/>
      <c r="X9" s="84"/>
      <c r="Y9" s="87"/>
      <c r="Z9" s="84"/>
      <c r="AA9" s="84">
        <v>13</v>
      </c>
      <c r="AB9" s="84"/>
      <c r="AC9" s="87"/>
      <c r="AD9" s="88"/>
      <c r="AE9" s="84"/>
    </row>
    <row r="10" spans="1:31" ht="65.25" thickBot="1">
      <c r="A10" s="84">
        <v>41</v>
      </c>
      <c r="B10" s="22" t="s">
        <v>101</v>
      </c>
      <c r="C10" s="84"/>
      <c r="D10" s="86"/>
      <c r="E10" s="86"/>
      <c r="F10" s="86"/>
      <c r="G10" s="86"/>
      <c r="H10" s="86"/>
      <c r="I10" s="86"/>
      <c r="J10" s="86">
        <v>63</v>
      </c>
      <c r="K10" s="86"/>
      <c r="L10" s="86"/>
      <c r="M10" s="86"/>
      <c r="N10" s="87"/>
      <c r="O10" s="83"/>
      <c r="P10" s="83"/>
      <c r="Q10" s="87"/>
      <c r="R10" s="83"/>
      <c r="S10" s="83"/>
      <c r="T10" s="87"/>
      <c r="U10" s="84"/>
      <c r="V10" s="83"/>
      <c r="W10" s="87"/>
      <c r="X10" s="84"/>
      <c r="Y10" s="83"/>
      <c r="Z10" s="87"/>
      <c r="AA10" s="83"/>
      <c r="AB10" s="84"/>
      <c r="AC10" s="87"/>
      <c r="AD10" s="90"/>
      <c r="AE10" s="83"/>
    </row>
    <row r="11" spans="1:31" ht="65.25" thickBot="1">
      <c r="A11" s="89">
        <v>31</v>
      </c>
      <c r="B11" s="23" t="s">
        <v>9</v>
      </c>
      <c r="C11" s="84"/>
      <c r="D11" s="86"/>
      <c r="E11" s="86"/>
      <c r="F11" s="86"/>
      <c r="G11" s="86"/>
      <c r="H11" s="86"/>
      <c r="I11" s="86"/>
      <c r="J11" s="86"/>
      <c r="K11" s="86"/>
      <c r="L11" s="86"/>
      <c r="M11" s="86">
        <v>5</v>
      </c>
      <c r="N11" s="86"/>
      <c r="O11" s="86"/>
      <c r="P11" s="84">
        <v>12</v>
      </c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4">
        <v>0.58</v>
      </c>
      <c r="AC11" s="86"/>
      <c r="AD11" s="87"/>
      <c r="AE11" s="83"/>
    </row>
    <row r="12" spans="1:31" ht="65.25" thickBot="1">
      <c r="A12" s="83">
        <v>16</v>
      </c>
      <c r="B12" s="22" t="s">
        <v>36</v>
      </c>
      <c r="C12" s="86">
        <v>25</v>
      </c>
      <c r="D12" s="85"/>
      <c r="E12" s="85"/>
      <c r="F12" s="85"/>
      <c r="G12" s="85"/>
      <c r="H12" s="86"/>
      <c r="I12" s="86"/>
      <c r="J12" s="86"/>
      <c r="K12" s="86"/>
      <c r="L12" s="86"/>
      <c r="M12" s="86"/>
      <c r="N12" s="86"/>
      <c r="O12" s="87"/>
      <c r="P12" s="84"/>
      <c r="Q12" s="84">
        <v>5</v>
      </c>
      <c r="R12" s="84"/>
      <c r="S12" s="87"/>
      <c r="T12" s="84"/>
      <c r="U12" s="87"/>
      <c r="V12" s="83"/>
      <c r="W12" s="84"/>
      <c r="X12" s="83"/>
      <c r="Y12" s="87"/>
      <c r="Z12" s="84"/>
      <c r="AA12" s="84"/>
      <c r="AB12" s="87"/>
      <c r="AC12" s="83"/>
      <c r="AD12" s="88"/>
      <c r="AE12" s="84"/>
    </row>
    <row r="13" spans="1:31" ht="65.25" thickBot="1">
      <c r="A13" s="83"/>
      <c r="B13" s="22" t="s">
        <v>6</v>
      </c>
      <c r="C13" s="84">
        <f>SUM(C9:C12)</f>
        <v>25</v>
      </c>
      <c r="D13" s="84">
        <f aca="true" t="shared" si="0" ref="D13:AD13">SUM(D9:D12)</f>
        <v>0</v>
      </c>
      <c r="E13" s="84">
        <f t="shared" si="0"/>
        <v>0</v>
      </c>
      <c r="F13" s="84">
        <f t="shared" si="0"/>
        <v>0</v>
      </c>
      <c r="G13" s="84">
        <f t="shared" si="0"/>
        <v>0</v>
      </c>
      <c r="H13" s="84">
        <f t="shared" si="0"/>
        <v>53</v>
      </c>
      <c r="I13" s="84">
        <f t="shared" si="0"/>
        <v>0</v>
      </c>
      <c r="J13" s="84">
        <f t="shared" si="0"/>
        <v>63</v>
      </c>
      <c r="K13" s="84">
        <f t="shared" si="0"/>
        <v>0</v>
      </c>
      <c r="L13" s="84">
        <f t="shared" si="0"/>
        <v>0</v>
      </c>
      <c r="M13" s="84">
        <f t="shared" si="0"/>
        <v>5</v>
      </c>
      <c r="N13" s="84">
        <f t="shared" si="0"/>
        <v>0</v>
      </c>
      <c r="O13" s="84">
        <f t="shared" si="0"/>
        <v>0</v>
      </c>
      <c r="P13" s="84">
        <f t="shared" si="0"/>
        <v>12</v>
      </c>
      <c r="Q13" s="84">
        <f t="shared" si="0"/>
        <v>11</v>
      </c>
      <c r="R13" s="84">
        <f t="shared" si="0"/>
        <v>0</v>
      </c>
      <c r="S13" s="84">
        <f t="shared" si="0"/>
        <v>0</v>
      </c>
      <c r="T13" s="84">
        <f t="shared" si="0"/>
        <v>0</v>
      </c>
      <c r="U13" s="84">
        <f t="shared" si="0"/>
        <v>0</v>
      </c>
      <c r="V13" s="84">
        <f t="shared" si="0"/>
        <v>0</v>
      </c>
      <c r="W13" s="84">
        <f t="shared" si="0"/>
        <v>0</v>
      </c>
      <c r="X13" s="84">
        <f t="shared" si="0"/>
        <v>0</v>
      </c>
      <c r="Y13" s="84">
        <f t="shared" si="0"/>
        <v>0</v>
      </c>
      <c r="Z13" s="84">
        <f t="shared" si="0"/>
        <v>0</v>
      </c>
      <c r="AA13" s="84">
        <f t="shared" si="0"/>
        <v>13</v>
      </c>
      <c r="AB13" s="84">
        <f t="shared" si="0"/>
        <v>0.58</v>
      </c>
      <c r="AC13" s="84">
        <f t="shared" si="0"/>
        <v>0</v>
      </c>
      <c r="AD13" s="88">
        <f t="shared" si="0"/>
        <v>0</v>
      </c>
      <c r="AE13" s="84">
        <f>SUM(AE9,AE11,AE12)</f>
        <v>0</v>
      </c>
    </row>
    <row r="14" spans="1:31" ht="65.25" thickBot="1">
      <c r="A14" s="155" t="s">
        <v>53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7"/>
    </row>
    <row r="15" spans="1:31" ht="65.25" thickBot="1">
      <c r="A15" s="83" t="s">
        <v>32</v>
      </c>
      <c r="B15" s="25" t="s">
        <v>182</v>
      </c>
      <c r="C15" s="84"/>
      <c r="D15" s="86"/>
      <c r="E15" s="86"/>
      <c r="F15" s="86"/>
      <c r="G15" s="86"/>
      <c r="H15" s="86"/>
      <c r="I15" s="86"/>
      <c r="J15" s="86"/>
      <c r="K15" s="86">
        <v>150</v>
      </c>
      <c r="L15" s="86"/>
      <c r="M15" s="86"/>
      <c r="N15" s="86"/>
      <c r="O15" s="87"/>
      <c r="P15" s="84"/>
      <c r="Q15" s="87"/>
      <c r="R15" s="84"/>
      <c r="S15" s="87"/>
      <c r="T15" s="84"/>
      <c r="U15" s="87"/>
      <c r="V15" s="84"/>
      <c r="W15" s="84"/>
      <c r="X15" s="87"/>
      <c r="Y15" s="84"/>
      <c r="Z15" s="84"/>
      <c r="AA15" s="87"/>
      <c r="AB15" s="84"/>
      <c r="AC15" s="87"/>
      <c r="AD15" s="88"/>
      <c r="AE15" s="83"/>
    </row>
    <row r="16" spans="1:31" ht="65.25" thickBot="1">
      <c r="A16" s="83"/>
      <c r="B16" s="22" t="s">
        <v>29</v>
      </c>
      <c r="C16" s="86">
        <f aca="true" t="shared" si="1" ref="C16:AD16">SUM(C15)</f>
        <v>0</v>
      </c>
      <c r="D16" s="86">
        <f>SUM(D15)</f>
        <v>0</v>
      </c>
      <c r="E16" s="86">
        <f t="shared" si="1"/>
        <v>0</v>
      </c>
      <c r="F16" s="86">
        <f t="shared" si="1"/>
        <v>0</v>
      </c>
      <c r="G16" s="86">
        <f t="shared" si="1"/>
        <v>0</v>
      </c>
      <c r="H16" s="86">
        <f t="shared" si="1"/>
        <v>0</v>
      </c>
      <c r="I16" s="86">
        <f t="shared" si="1"/>
        <v>0</v>
      </c>
      <c r="J16" s="86">
        <f t="shared" si="1"/>
        <v>0</v>
      </c>
      <c r="K16" s="86">
        <f t="shared" si="1"/>
        <v>150</v>
      </c>
      <c r="L16" s="86">
        <f t="shared" si="1"/>
        <v>0</v>
      </c>
      <c r="M16" s="86">
        <f t="shared" si="1"/>
        <v>0</v>
      </c>
      <c r="N16" s="86">
        <f t="shared" si="1"/>
        <v>0</v>
      </c>
      <c r="O16" s="86">
        <f t="shared" si="1"/>
        <v>0</v>
      </c>
      <c r="P16" s="86">
        <f t="shared" si="1"/>
        <v>0</v>
      </c>
      <c r="Q16" s="86">
        <f t="shared" si="1"/>
        <v>0</v>
      </c>
      <c r="R16" s="86">
        <f t="shared" si="1"/>
        <v>0</v>
      </c>
      <c r="S16" s="86">
        <f t="shared" si="1"/>
        <v>0</v>
      </c>
      <c r="T16" s="86">
        <f t="shared" si="1"/>
        <v>0</v>
      </c>
      <c r="U16" s="86">
        <f t="shared" si="1"/>
        <v>0</v>
      </c>
      <c r="V16" s="86">
        <f t="shared" si="1"/>
        <v>0</v>
      </c>
      <c r="W16" s="86">
        <f t="shared" si="1"/>
        <v>0</v>
      </c>
      <c r="X16" s="86">
        <f t="shared" si="1"/>
        <v>0</v>
      </c>
      <c r="Y16" s="86">
        <f t="shared" si="1"/>
        <v>0</v>
      </c>
      <c r="Z16" s="86">
        <f t="shared" si="1"/>
        <v>0</v>
      </c>
      <c r="AA16" s="86">
        <f t="shared" si="1"/>
        <v>0</v>
      </c>
      <c r="AB16" s="86">
        <f t="shared" si="1"/>
        <v>0</v>
      </c>
      <c r="AC16" s="86">
        <f t="shared" si="1"/>
        <v>0</v>
      </c>
      <c r="AD16" s="87">
        <f t="shared" si="1"/>
        <v>0</v>
      </c>
      <c r="AE16" s="83">
        <f>SUM(AE15)</f>
        <v>0</v>
      </c>
    </row>
    <row r="17" spans="1:31" ht="65.25" thickBot="1">
      <c r="A17" s="150" t="s">
        <v>31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2"/>
    </row>
    <row r="18" spans="1:31" ht="129.75" thickBot="1">
      <c r="A18" s="84">
        <v>38</v>
      </c>
      <c r="B18" s="22" t="s">
        <v>268</v>
      </c>
      <c r="C18" s="84"/>
      <c r="D18" s="86"/>
      <c r="E18" s="86"/>
      <c r="F18" s="86"/>
      <c r="G18" s="86"/>
      <c r="H18" s="86"/>
      <c r="I18" s="86"/>
      <c r="J18" s="86">
        <v>40</v>
      </c>
      <c r="K18" s="86"/>
      <c r="L18" s="86"/>
      <c r="M18" s="86"/>
      <c r="N18" s="87"/>
      <c r="O18" s="83"/>
      <c r="P18" s="87"/>
      <c r="Q18" s="83"/>
      <c r="R18" s="87"/>
      <c r="S18" s="83"/>
      <c r="T18" s="87"/>
      <c r="U18" s="84"/>
      <c r="V18" s="83"/>
      <c r="W18" s="87"/>
      <c r="X18" s="84"/>
      <c r="Y18" s="83"/>
      <c r="Z18" s="87"/>
      <c r="AA18" s="83"/>
      <c r="AB18" s="84"/>
      <c r="AC18" s="88"/>
      <c r="AD18" s="80"/>
      <c r="AE18" s="83"/>
    </row>
    <row r="19" spans="1:31" ht="129.75" thickBot="1">
      <c r="A19" s="83">
        <v>46</v>
      </c>
      <c r="B19" s="22" t="s">
        <v>72</v>
      </c>
      <c r="C19" s="84"/>
      <c r="D19" s="86"/>
      <c r="E19" s="86"/>
      <c r="F19" s="86"/>
      <c r="G19" s="86">
        <v>5</v>
      </c>
      <c r="H19" s="86"/>
      <c r="I19" s="86">
        <v>60</v>
      </c>
      <c r="J19" s="86">
        <v>22.3</v>
      </c>
      <c r="K19" s="86"/>
      <c r="L19" s="86"/>
      <c r="M19" s="86"/>
      <c r="N19" s="86"/>
      <c r="O19" s="87"/>
      <c r="P19" s="83"/>
      <c r="Q19" s="87">
        <v>3</v>
      </c>
      <c r="R19" s="83"/>
      <c r="S19" s="87"/>
      <c r="T19" s="83"/>
      <c r="U19" s="87"/>
      <c r="V19" s="83"/>
      <c r="W19" s="83">
        <v>13</v>
      </c>
      <c r="X19" s="87"/>
      <c r="Y19" s="83"/>
      <c r="Z19" s="84">
        <v>8</v>
      </c>
      <c r="AA19" s="87"/>
      <c r="AB19" s="83"/>
      <c r="AC19" s="83"/>
      <c r="AD19" s="87"/>
      <c r="AE19" s="83"/>
    </row>
    <row r="20" spans="1:31" ht="65.25" thickBot="1">
      <c r="A20" s="83">
        <v>96</v>
      </c>
      <c r="B20" s="22" t="s">
        <v>46</v>
      </c>
      <c r="C20" s="84"/>
      <c r="D20" s="86"/>
      <c r="E20" s="86"/>
      <c r="F20" s="86"/>
      <c r="G20" s="86">
        <v>7</v>
      </c>
      <c r="H20" s="86"/>
      <c r="I20" s="86"/>
      <c r="J20" s="86">
        <v>79</v>
      </c>
      <c r="K20" s="86"/>
      <c r="L20" s="86"/>
      <c r="M20" s="86"/>
      <c r="N20" s="86"/>
      <c r="O20" s="87"/>
      <c r="P20" s="83"/>
      <c r="Q20" s="87"/>
      <c r="R20" s="83">
        <v>7</v>
      </c>
      <c r="S20" s="87">
        <v>4</v>
      </c>
      <c r="T20" s="83"/>
      <c r="U20" s="87"/>
      <c r="V20" s="83"/>
      <c r="W20" s="83">
        <v>48</v>
      </c>
      <c r="X20" s="87"/>
      <c r="Y20" s="83"/>
      <c r="Z20" s="83"/>
      <c r="AA20" s="87"/>
      <c r="AB20" s="83"/>
      <c r="AC20" s="83"/>
      <c r="AD20" s="87"/>
      <c r="AE20" s="83"/>
    </row>
    <row r="21" spans="1:31" ht="65.25" thickBot="1">
      <c r="A21" s="83">
        <v>89</v>
      </c>
      <c r="B21" s="22" t="s">
        <v>230</v>
      </c>
      <c r="C21" s="84"/>
      <c r="D21" s="86"/>
      <c r="E21" s="86">
        <v>0.7</v>
      </c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3"/>
      <c r="Q21" s="87">
        <v>0.7</v>
      </c>
      <c r="R21" s="83"/>
      <c r="S21" s="87"/>
      <c r="T21" s="83"/>
      <c r="U21" s="83"/>
      <c r="V21" s="87"/>
      <c r="W21" s="83"/>
      <c r="X21" s="87"/>
      <c r="Y21" s="83"/>
      <c r="Z21" s="83">
        <v>11</v>
      </c>
      <c r="AA21" s="87"/>
      <c r="AB21" s="83"/>
      <c r="AC21" s="87"/>
      <c r="AD21" s="90"/>
      <c r="AE21" s="83"/>
    </row>
    <row r="22" spans="1:31" ht="65.25" thickBot="1">
      <c r="A22" s="83">
        <v>9</v>
      </c>
      <c r="B22" s="22" t="s">
        <v>43</v>
      </c>
      <c r="C22" s="84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>
        <v>18</v>
      </c>
      <c r="O22" s="87"/>
      <c r="P22" s="83">
        <v>13</v>
      </c>
      <c r="Q22" s="87"/>
      <c r="R22" s="83"/>
      <c r="S22" s="87"/>
      <c r="T22" s="83"/>
      <c r="U22" s="83"/>
      <c r="V22" s="87"/>
      <c r="W22" s="83"/>
      <c r="X22" s="87"/>
      <c r="Y22" s="83"/>
      <c r="Z22" s="83"/>
      <c r="AA22" s="87"/>
      <c r="AB22" s="83"/>
      <c r="AC22" s="87"/>
      <c r="AD22" s="90"/>
      <c r="AE22" s="83"/>
    </row>
    <row r="23" spans="1:31" ht="129.75" thickBot="1">
      <c r="A23" s="83" t="s">
        <v>32</v>
      </c>
      <c r="B23" s="22" t="s">
        <v>56</v>
      </c>
      <c r="C23" s="84">
        <v>25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83"/>
      <c r="W23" s="86"/>
      <c r="X23" s="87"/>
      <c r="Y23" s="83"/>
      <c r="Z23" s="86"/>
      <c r="AA23" s="86"/>
      <c r="AB23" s="86"/>
      <c r="AC23" s="86"/>
      <c r="AD23" s="87"/>
      <c r="AE23" s="83"/>
    </row>
    <row r="24" spans="1:31" ht="129.75" thickBot="1">
      <c r="A24" s="83" t="s">
        <v>32</v>
      </c>
      <c r="B24" s="22" t="s">
        <v>58</v>
      </c>
      <c r="C24" s="84"/>
      <c r="D24" s="86">
        <v>50</v>
      </c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8"/>
      <c r="P24" s="84"/>
      <c r="Q24" s="85"/>
      <c r="R24" s="85"/>
      <c r="S24" s="85"/>
      <c r="T24" s="85"/>
      <c r="U24" s="84"/>
      <c r="V24" s="91"/>
      <c r="W24" s="84"/>
      <c r="X24" s="91"/>
      <c r="Y24" s="84"/>
      <c r="Z24" s="85"/>
      <c r="AA24" s="91"/>
      <c r="AB24" s="84"/>
      <c r="AC24" s="85"/>
      <c r="AD24" s="91"/>
      <c r="AE24" s="84"/>
    </row>
    <row r="25" spans="1:31" ht="65.25" thickBot="1">
      <c r="A25" s="84"/>
      <c r="B25" s="25" t="s">
        <v>29</v>
      </c>
      <c r="C25" s="84">
        <f aca="true" t="shared" si="2" ref="C25:AE25">SUM(C18:C24)</f>
        <v>25</v>
      </c>
      <c r="D25" s="84">
        <f t="shared" si="2"/>
        <v>50</v>
      </c>
      <c r="E25" s="84">
        <f t="shared" si="2"/>
        <v>0.7</v>
      </c>
      <c r="F25" s="84">
        <f t="shared" si="2"/>
        <v>0</v>
      </c>
      <c r="G25" s="84">
        <f t="shared" si="2"/>
        <v>12</v>
      </c>
      <c r="H25" s="84">
        <f t="shared" si="2"/>
        <v>0</v>
      </c>
      <c r="I25" s="84">
        <f t="shared" si="2"/>
        <v>60</v>
      </c>
      <c r="J25" s="84">
        <f t="shared" si="2"/>
        <v>141.3</v>
      </c>
      <c r="K25" s="84">
        <f t="shared" si="2"/>
        <v>0</v>
      </c>
      <c r="L25" s="84">
        <f t="shared" si="2"/>
        <v>0</v>
      </c>
      <c r="M25" s="84">
        <f t="shared" si="2"/>
        <v>0</v>
      </c>
      <c r="N25" s="84">
        <f t="shared" si="2"/>
        <v>18</v>
      </c>
      <c r="O25" s="84">
        <f t="shared" si="2"/>
        <v>0</v>
      </c>
      <c r="P25" s="84">
        <f t="shared" si="2"/>
        <v>13</v>
      </c>
      <c r="Q25" s="84">
        <f t="shared" si="2"/>
        <v>3.7</v>
      </c>
      <c r="R25" s="84">
        <f t="shared" si="2"/>
        <v>7</v>
      </c>
      <c r="S25" s="84">
        <f t="shared" si="2"/>
        <v>4</v>
      </c>
      <c r="T25" s="84">
        <f t="shared" si="2"/>
        <v>0</v>
      </c>
      <c r="U25" s="84">
        <f t="shared" si="2"/>
        <v>0</v>
      </c>
      <c r="V25" s="84">
        <f t="shared" si="2"/>
        <v>0</v>
      </c>
      <c r="W25" s="84">
        <f t="shared" si="2"/>
        <v>61</v>
      </c>
      <c r="X25" s="84">
        <f t="shared" si="2"/>
        <v>0</v>
      </c>
      <c r="Y25" s="84">
        <f t="shared" si="2"/>
        <v>0</v>
      </c>
      <c r="Z25" s="84">
        <f t="shared" si="2"/>
        <v>19</v>
      </c>
      <c r="AA25" s="84">
        <f t="shared" si="2"/>
        <v>0</v>
      </c>
      <c r="AB25" s="84">
        <f t="shared" si="2"/>
        <v>0</v>
      </c>
      <c r="AC25" s="84">
        <f t="shared" si="2"/>
        <v>0</v>
      </c>
      <c r="AD25" s="88">
        <f t="shared" si="2"/>
        <v>0</v>
      </c>
      <c r="AE25" s="84">
        <f t="shared" si="2"/>
        <v>0</v>
      </c>
    </row>
    <row r="26" spans="1:31" ht="65.25" thickBot="1">
      <c r="A26" s="150" t="s">
        <v>145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2"/>
    </row>
    <row r="27" spans="1:31" ht="129.75" thickBot="1">
      <c r="A27" s="92">
        <v>21.1</v>
      </c>
      <c r="B27" s="27" t="s">
        <v>172</v>
      </c>
      <c r="C27" s="83"/>
      <c r="D27" s="86"/>
      <c r="E27" s="83"/>
      <c r="F27" s="83"/>
      <c r="G27" s="83"/>
      <c r="H27" s="86"/>
      <c r="I27" s="86"/>
      <c r="J27" s="86"/>
      <c r="K27" s="86"/>
      <c r="L27" s="86"/>
      <c r="M27" s="86"/>
      <c r="N27" s="86"/>
      <c r="O27" s="87"/>
      <c r="P27" s="84"/>
      <c r="Q27" s="87"/>
      <c r="R27" s="84"/>
      <c r="S27" s="87"/>
      <c r="T27" s="84">
        <v>185</v>
      </c>
      <c r="U27" s="87"/>
      <c r="V27" s="84"/>
      <c r="W27" s="84"/>
      <c r="X27" s="87"/>
      <c r="Y27" s="84"/>
      <c r="Z27" s="84"/>
      <c r="AA27" s="87"/>
      <c r="AB27" s="84"/>
      <c r="AC27" s="87"/>
      <c r="AD27" s="88"/>
      <c r="AE27" s="83"/>
    </row>
    <row r="28" spans="1:31" ht="194.25" thickBot="1">
      <c r="A28" s="83">
        <v>24</v>
      </c>
      <c r="B28" s="22" t="s">
        <v>105</v>
      </c>
      <c r="C28" s="84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>
        <v>75</v>
      </c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7"/>
      <c r="AE28" s="83"/>
    </row>
    <row r="29" spans="1:31" ht="65.25" thickBot="1">
      <c r="A29" s="84"/>
      <c r="B29" s="22" t="s">
        <v>29</v>
      </c>
      <c r="C29" s="84">
        <f>C27+C28</f>
        <v>0</v>
      </c>
      <c r="D29" s="84">
        <f aca="true" t="shared" si="3" ref="D29:AE29">D27+D28</f>
        <v>0</v>
      </c>
      <c r="E29" s="84">
        <f t="shared" si="3"/>
        <v>0</v>
      </c>
      <c r="F29" s="84">
        <f t="shared" si="3"/>
        <v>0</v>
      </c>
      <c r="G29" s="84">
        <f t="shared" si="3"/>
        <v>0</v>
      </c>
      <c r="H29" s="84">
        <f t="shared" si="3"/>
        <v>0</v>
      </c>
      <c r="I29" s="84">
        <f t="shared" si="3"/>
        <v>0</v>
      </c>
      <c r="J29" s="84">
        <f t="shared" si="3"/>
        <v>0</v>
      </c>
      <c r="K29" s="84">
        <f t="shared" si="3"/>
        <v>0</v>
      </c>
      <c r="L29" s="84">
        <f t="shared" si="3"/>
        <v>0</v>
      </c>
      <c r="M29" s="84">
        <f t="shared" si="3"/>
        <v>0</v>
      </c>
      <c r="N29" s="84">
        <f t="shared" si="3"/>
        <v>0</v>
      </c>
      <c r="O29" s="84">
        <f t="shared" si="3"/>
        <v>75</v>
      </c>
      <c r="P29" s="84">
        <f t="shared" si="3"/>
        <v>0</v>
      </c>
      <c r="Q29" s="84">
        <f t="shared" si="3"/>
        <v>0</v>
      </c>
      <c r="R29" s="84">
        <f t="shared" si="3"/>
        <v>0</v>
      </c>
      <c r="S29" s="84">
        <f t="shared" si="3"/>
        <v>0</v>
      </c>
      <c r="T29" s="84">
        <f t="shared" si="3"/>
        <v>185</v>
      </c>
      <c r="U29" s="84">
        <f t="shared" si="3"/>
        <v>0</v>
      </c>
      <c r="V29" s="84">
        <f t="shared" si="3"/>
        <v>0</v>
      </c>
      <c r="W29" s="84">
        <f t="shared" si="3"/>
        <v>0</v>
      </c>
      <c r="X29" s="84">
        <f t="shared" si="3"/>
        <v>0</v>
      </c>
      <c r="Y29" s="84">
        <f t="shared" si="3"/>
        <v>0</v>
      </c>
      <c r="Z29" s="84">
        <f t="shared" si="3"/>
        <v>0</v>
      </c>
      <c r="AA29" s="84">
        <f t="shared" si="3"/>
        <v>0</v>
      </c>
      <c r="AB29" s="84">
        <f t="shared" si="3"/>
        <v>0</v>
      </c>
      <c r="AC29" s="84">
        <f t="shared" si="3"/>
        <v>0</v>
      </c>
      <c r="AD29" s="84">
        <f t="shared" si="3"/>
        <v>0</v>
      </c>
      <c r="AE29" s="84">
        <f t="shared" si="3"/>
        <v>0</v>
      </c>
    </row>
    <row r="30" spans="1:31" ht="65.25" thickBot="1">
      <c r="A30" s="150" t="s">
        <v>144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2"/>
    </row>
    <row r="31" spans="1:31" ht="65.25" thickBot="1">
      <c r="A31" s="83">
        <v>67</v>
      </c>
      <c r="B31" s="22" t="s">
        <v>180</v>
      </c>
      <c r="C31" s="84"/>
      <c r="D31" s="86"/>
      <c r="E31" s="86"/>
      <c r="F31" s="86"/>
      <c r="G31" s="86"/>
      <c r="H31" s="86"/>
      <c r="I31" s="86">
        <v>67</v>
      </c>
      <c r="J31" s="86">
        <v>20</v>
      </c>
      <c r="K31" s="86"/>
      <c r="L31" s="86"/>
      <c r="M31" s="86"/>
      <c r="N31" s="87"/>
      <c r="O31" s="83"/>
      <c r="P31" s="87"/>
      <c r="Q31" s="83"/>
      <c r="R31" s="87">
        <v>4</v>
      </c>
      <c r="S31" s="83"/>
      <c r="T31" s="83"/>
      <c r="U31" s="87"/>
      <c r="V31" s="83"/>
      <c r="W31" s="87"/>
      <c r="X31" s="84"/>
      <c r="Y31" s="84">
        <v>63</v>
      </c>
      <c r="Z31" s="87"/>
      <c r="AA31" s="83"/>
      <c r="AB31" s="87"/>
      <c r="AC31" s="83"/>
      <c r="AD31" s="90"/>
      <c r="AE31" s="83"/>
    </row>
    <row r="32" spans="1:31" ht="129.75" thickBot="1">
      <c r="A32" s="83" t="s">
        <v>32</v>
      </c>
      <c r="B32" s="22" t="s">
        <v>56</v>
      </c>
      <c r="C32" s="84">
        <v>25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  <c r="V32" s="83"/>
      <c r="W32" s="86"/>
      <c r="X32" s="87"/>
      <c r="Y32" s="83"/>
      <c r="Z32" s="86"/>
      <c r="AA32" s="86"/>
      <c r="AB32" s="86"/>
      <c r="AC32" s="86"/>
      <c r="AD32" s="87"/>
      <c r="AE32" s="83"/>
    </row>
    <row r="33" spans="1:31" ht="65.25" thickBot="1">
      <c r="A33" s="83">
        <v>76</v>
      </c>
      <c r="B33" s="23" t="s">
        <v>171</v>
      </c>
      <c r="C33" s="84"/>
      <c r="D33" s="85"/>
      <c r="E33" s="85"/>
      <c r="F33" s="85"/>
      <c r="G33" s="85"/>
      <c r="H33" s="86"/>
      <c r="I33" s="86"/>
      <c r="J33" s="86"/>
      <c r="K33" s="86"/>
      <c r="L33" s="86"/>
      <c r="M33" s="86"/>
      <c r="N33" s="86"/>
      <c r="O33" s="87"/>
      <c r="P33" s="84">
        <v>10</v>
      </c>
      <c r="Q33" s="87"/>
      <c r="R33" s="84"/>
      <c r="S33" s="87"/>
      <c r="T33" s="84">
        <v>80</v>
      </c>
      <c r="U33" s="84"/>
      <c r="V33" s="87"/>
      <c r="W33" s="84"/>
      <c r="X33" s="87"/>
      <c r="Y33" s="84"/>
      <c r="Z33" s="84"/>
      <c r="AA33" s="87"/>
      <c r="AB33" s="84">
        <v>0.58</v>
      </c>
      <c r="AC33" s="84"/>
      <c r="AD33" s="87"/>
      <c r="AE33" s="83"/>
    </row>
    <row r="34" spans="1:31" ht="129.75" thickBot="1">
      <c r="A34" s="83">
        <v>69</v>
      </c>
      <c r="B34" s="22" t="s">
        <v>106</v>
      </c>
      <c r="C34" s="84"/>
      <c r="D34" s="86"/>
      <c r="E34" s="86"/>
      <c r="F34" s="86"/>
      <c r="G34" s="86"/>
      <c r="H34" s="86"/>
      <c r="I34" s="86"/>
      <c r="J34" s="86"/>
      <c r="K34" s="86"/>
      <c r="L34" s="86"/>
      <c r="M34" s="86">
        <v>85</v>
      </c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4"/>
    </row>
    <row r="35" spans="1:31" ht="65.25" thickBot="1">
      <c r="A35" s="80"/>
      <c r="B35" s="22" t="s">
        <v>6</v>
      </c>
      <c r="C35" s="84">
        <f aca="true" t="shared" si="4" ref="C35:AE35">SUM(C31:C34)</f>
        <v>25</v>
      </c>
      <c r="D35" s="84">
        <f t="shared" si="4"/>
        <v>0</v>
      </c>
      <c r="E35" s="84">
        <f t="shared" si="4"/>
        <v>0</v>
      </c>
      <c r="F35" s="84">
        <f t="shared" si="4"/>
        <v>0</v>
      </c>
      <c r="G35" s="84">
        <f t="shared" si="4"/>
        <v>0</v>
      </c>
      <c r="H35" s="84">
        <f t="shared" si="4"/>
        <v>0</v>
      </c>
      <c r="I35" s="84">
        <f t="shared" si="4"/>
        <v>67</v>
      </c>
      <c r="J35" s="84">
        <f t="shared" si="4"/>
        <v>20</v>
      </c>
      <c r="K35" s="84">
        <f t="shared" si="4"/>
        <v>0</v>
      </c>
      <c r="L35" s="84">
        <f t="shared" si="4"/>
        <v>0</v>
      </c>
      <c r="M35" s="84">
        <f t="shared" si="4"/>
        <v>85</v>
      </c>
      <c r="N35" s="84">
        <f t="shared" si="4"/>
        <v>0</v>
      </c>
      <c r="O35" s="84">
        <f t="shared" si="4"/>
        <v>0</v>
      </c>
      <c r="P35" s="84">
        <f t="shared" si="4"/>
        <v>10</v>
      </c>
      <c r="Q35" s="84">
        <f t="shared" si="4"/>
        <v>0</v>
      </c>
      <c r="R35" s="84">
        <f t="shared" si="4"/>
        <v>4</v>
      </c>
      <c r="S35" s="84">
        <f t="shared" si="4"/>
        <v>0</v>
      </c>
      <c r="T35" s="84">
        <f t="shared" si="4"/>
        <v>80</v>
      </c>
      <c r="U35" s="84">
        <f t="shared" si="4"/>
        <v>0</v>
      </c>
      <c r="V35" s="84">
        <f t="shared" si="4"/>
        <v>0</v>
      </c>
      <c r="W35" s="84">
        <f t="shared" si="4"/>
        <v>0</v>
      </c>
      <c r="X35" s="84">
        <f t="shared" si="4"/>
        <v>0</v>
      </c>
      <c r="Y35" s="84">
        <f t="shared" si="4"/>
        <v>63</v>
      </c>
      <c r="Z35" s="84">
        <f t="shared" si="4"/>
        <v>0</v>
      </c>
      <c r="AA35" s="84">
        <f t="shared" si="4"/>
        <v>0</v>
      </c>
      <c r="AB35" s="84">
        <f t="shared" si="4"/>
        <v>0.58</v>
      </c>
      <c r="AC35" s="84">
        <f t="shared" si="4"/>
        <v>0</v>
      </c>
      <c r="AD35" s="84">
        <f t="shared" si="4"/>
        <v>0</v>
      </c>
      <c r="AE35" s="84">
        <f t="shared" si="4"/>
        <v>0</v>
      </c>
    </row>
    <row r="36" spans="1:31" ht="194.25" thickBot="1">
      <c r="A36" s="145"/>
      <c r="B36" s="22" t="s">
        <v>150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8"/>
      <c r="AE36" s="84"/>
    </row>
    <row r="37" spans="1:31" ht="65.25" thickBot="1">
      <c r="A37" s="83"/>
      <c r="B37" s="93" t="s">
        <v>10</v>
      </c>
      <c r="C37" s="84">
        <f aca="true" t="shared" si="5" ref="C37:AE37">C13+C16+C25+C29+C35</f>
        <v>75</v>
      </c>
      <c r="D37" s="84">
        <f t="shared" si="5"/>
        <v>50</v>
      </c>
      <c r="E37" s="84">
        <f t="shared" si="5"/>
        <v>0.7</v>
      </c>
      <c r="F37" s="84">
        <f t="shared" si="5"/>
        <v>0</v>
      </c>
      <c r="G37" s="84">
        <f t="shared" si="5"/>
        <v>12</v>
      </c>
      <c r="H37" s="84">
        <f t="shared" si="5"/>
        <v>53</v>
      </c>
      <c r="I37" s="84">
        <f t="shared" si="5"/>
        <v>127</v>
      </c>
      <c r="J37" s="84">
        <f t="shared" si="5"/>
        <v>224.3</v>
      </c>
      <c r="K37" s="84">
        <f t="shared" si="5"/>
        <v>150</v>
      </c>
      <c r="L37" s="84">
        <f t="shared" si="5"/>
        <v>0</v>
      </c>
      <c r="M37" s="84">
        <f t="shared" si="5"/>
        <v>90</v>
      </c>
      <c r="N37" s="84">
        <f t="shared" si="5"/>
        <v>18</v>
      </c>
      <c r="O37" s="84">
        <f t="shared" si="5"/>
        <v>75</v>
      </c>
      <c r="P37" s="84">
        <f t="shared" si="5"/>
        <v>35</v>
      </c>
      <c r="Q37" s="84">
        <f t="shared" si="5"/>
        <v>14.7</v>
      </c>
      <c r="R37" s="84">
        <f t="shared" si="5"/>
        <v>11</v>
      </c>
      <c r="S37" s="84">
        <f t="shared" si="5"/>
        <v>4</v>
      </c>
      <c r="T37" s="84">
        <f t="shared" si="5"/>
        <v>265</v>
      </c>
      <c r="U37" s="84">
        <f t="shared" si="5"/>
        <v>0</v>
      </c>
      <c r="V37" s="84">
        <f t="shared" si="5"/>
        <v>0</v>
      </c>
      <c r="W37" s="84">
        <f t="shared" si="5"/>
        <v>61</v>
      </c>
      <c r="X37" s="84">
        <f t="shared" si="5"/>
        <v>0</v>
      </c>
      <c r="Y37" s="84">
        <f t="shared" si="5"/>
        <v>63</v>
      </c>
      <c r="Z37" s="84">
        <f t="shared" si="5"/>
        <v>19</v>
      </c>
      <c r="AA37" s="84">
        <f t="shared" si="5"/>
        <v>13</v>
      </c>
      <c r="AB37" s="84">
        <f t="shared" si="5"/>
        <v>1.16</v>
      </c>
      <c r="AC37" s="84">
        <f t="shared" si="5"/>
        <v>0</v>
      </c>
      <c r="AD37" s="84">
        <f t="shared" si="5"/>
        <v>0</v>
      </c>
      <c r="AE37" s="84">
        <f t="shared" si="5"/>
        <v>0</v>
      </c>
    </row>
    <row r="38" spans="1:31" ht="65.25" thickBot="1">
      <c r="A38" s="150" t="s">
        <v>40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2"/>
    </row>
    <row r="39" spans="1:31" ht="65.25" thickBot="1">
      <c r="A39" s="150" t="s">
        <v>14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2"/>
    </row>
    <row r="40" spans="1:31" ht="45.75" customHeight="1">
      <c r="A40" s="166" t="s">
        <v>30</v>
      </c>
      <c r="B40" s="168" t="s">
        <v>23</v>
      </c>
      <c r="C40" s="153" t="s">
        <v>116</v>
      </c>
      <c r="D40" s="153" t="s">
        <v>117</v>
      </c>
      <c r="E40" s="153" t="s">
        <v>130</v>
      </c>
      <c r="F40" s="153" t="s">
        <v>119</v>
      </c>
      <c r="G40" s="153" t="s">
        <v>131</v>
      </c>
      <c r="H40" s="153" t="s">
        <v>132</v>
      </c>
      <c r="I40" s="153" t="s">
        <v>110</v>
      </c>
      <c r="J40" s="153" t="s">
        <v>257</v>
      </c>
      <c r="K40" s="140"/>
      <c r="L40" s="140"/>
      <c r="M40" s="153" t="s">
        <v>142</v>
      </c>
      <c r="N40" s="153" t="s">
        <v>79</v>
      </c>
      <c r="O40" s="153" t="s">
        <v>139</v>
      </c>
      <c r="P40" s="153" t="s">
        <v>80</v>
      </c>
      <c r="Q40" s="153" t="s">
        <v>124</v>
      </c>
      <c r="R40" s="153" t="s">
        <v>81</v>
      </c>
      <c r="S40" s="153" t="s">
        <v>134</v>
      </c>
      <c r="T40" s="153" t="s">
        <v>135</v>
      </c>
      <c r="U40" s="153" t="s">
        <v>136</v>
      </c>
      <c r="V40" s="140"/>
      <c r="W40" s="153" t="s">
        <v>113</v>
      </c>
      <c r="X40" s="153" t="s">
        <v>129</v>
      </c>
      <c r="Y40" s="153" t="s">
        <v>84</v>
      </c>
      <c r="Z40" s="153" t="s">
        <v>82</v>
      </c>
      <c r="AA40" s="153" t="s">
        <v>83</v>
      </c>
      <c r="AB40" s="153" t="s">
        <v>85</v>
      </c>
      <c r="AC40" s="140"/>
      <c r="AD40" s="158" t="s">
        <v>78</v>
      </c>
      <c r="AE40" s="153" t="s">
        <v>137</v>
      </c>
    </row>
    <row r="41" spans="1:31" ht="409.5" customHeight="1" thickBot="1">
      <c r="A41" s="167"/>
      <c r="B41" s="169"/>
      <c r="C41" s="154"/>
      <c r="D41" s="154"/>
      <c r="E41" s="154"/>
      <c r="F41" s="154"/>
      <c r="G41" s="154"/>
      <c r="H41" s="154"/>
      <c r="I41" s="154"/>
      <c r="J41" s="154"/>
      <c r="K41" s="141" t="s">
        <v>133</v>
      </c>
      <c r="L41" s="141" t="s">
        <v>143</v>
      </c>
      <c r="M41" s="154"/>
      <c r="N41" s="154"/>
      <c r="O41" s="154"/>
      <c r="P41" s="154"/>
      <c r="Q41" s="154"/>
      <c r="R41" s="154"/>
      <c r="S41" s="154"/>
      <c r="T41" s="154"/>
      <c r="U41" s="154"/>
      <c r="V41" s="141" t="s">
        <v>140</v>
      </c>
      <c r="W41" s="154"/>
      <c r="X41" s="154"/>
      <c r="Y41" s="154"/>
      <c r="Z41" s="154"/>
      <c r="AA41" s="154"/>
      <c r="AB41" s="154"/>
      <c r="AC41" s="141" t="s">
        <v>77</v>
      </c>
      <c r="AD41" s="159"/>
      <c r="AE41" s="154"/>
    </row>
    <row r="42" spans="1:31" ht="65.25" thickBot="1">
      <c r="A42" s="145">
        <v>1</v>
      </c>
      <c r="B42" s="79">
        <v>2</v>
      </c>
      <c r="C42" s="80" t="s">
        <v>54</v>
      </c>
      <c r="D42" s="81">
        <v>4</v>
      </c>
      <c r="E42" s="80">
        <v>5</v>
      </c>
      <c r="F42" s="80">
        <v>6</v>
      </c>
      <c r="G42" s="80">
        <v>7</v>
      </c>
      <c r="H42" s="80">
        <v>8</v>
      </c>
      <c r="I42" s="80" t="s">
        <v>55</v>
      </c>
      <c r="J42" s="81">
        <v>10</v>
      </c>
      <c r="K42" s="80">
        <v>11</v>
      </c>
      <c r="L42" s="108">
        <v>12</v>
      </c>
      <c r="M42" s="80">
        <v>13</v>
      </c>
      <c r="N42" s="80">
        <v>14</v>
      </c>
      <c r="O42" s="80">
        <v>15</v>
      </c>
      <c r="P42" s="80">
        <v>16</v>
      </c>
      <c r="Q42" s="143">
        <v>17</v>
      </c>
      <c r="R42" s="80">
        <v>18</v>
      </c>
      <c r="S42" s="143">
        <v>19</v>
      </c>
      <c r="T42" s="80">
        <v>20</v>
      </c>
      <c r="U42" s="143">
        <v>21</v>
      </c>
      <c r="V42" s="143">
        <v>22</v>
      </c>
      <c r="W42" s="80">
        <v>23</v>
      </c>
      <c r="X42" s="80">
        <v>24</v>
      </c>
      <c r="Y42" s="143">
        <v>25</v>
      </c>
      <c r="Z42" s="80">
        <v>26</v>
      </c>
      <c r="AA42" s="80">
        <v>27</v>
      </c>
      <c r="AB42" s="80">
        <v>28</v>
      </c>
      <c r="AC42" s="143">
        <v>29</v>
      </c>
      <c r="AD42" s="142">
        <v>30</v>
      </c>
      <c r="AE42" s="80">
        <v>32</v>
      </c>
    </row>
    <row r="43" spans="1:31" ht="65.25" thickBot="1">
      <c r="A43" s="150" t="s">
        <v>5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2"/>
    </row>
    <row r="44" spans="1:31" ht="129.75" thickBot="1">
      <c r="A44" s="84">
        <v>45</v>
      </c>
      <c r="B44" s="25" t="s">
        <v>203</v>
      </c>
      <c r="C44" s="84"/>
      <c r="D44" s="85"/>
      <c r="E44" s="85"/>
      <c r="F44" s="85"/>
      <c r="G44" s="85">
        <v>28</v>
      </c>
      <c r="H44" s="86"/>
      <c r="I44" s="86"/>
      <c r="J44" s="86"/>
      <c r="K44" s="86"/>
      <c r="L44" s="86"/>
      <c r="M44" s="86"/>
      <c r="N44" s="86"/>
      <c r="O44" s="87"/>
      <c r="P44" s="84">
        <v>5</v>
      </c>
      <c r="Q44" s="87">
        <v>2</v>
      </c>
      <c r="R44" s="84"/>
      <c r="S44" s="87"/>
      <c r="T44" s="84">
        <v>136</v>
      </c>
      <c r="U44" s="87"/>
      <c r="V44" s="84"/>
      <c r="W44" s="84"/>
      <c r="X44" s="84"/>
      <c r="Y44" s="87"/>
      <c r="Z44" s="84"/>
      <c r="AA44" s="84"/>
      <c r="AB44" s="84"/>
      <c r="AC44" s="87"/>
      <c r="AD44" s="88"/>
      <c r="AE44" s="84"/>
    </row>
    <row r="45" spans="1:31" ht="65.25" thickBot="1">
      <c r="A45" s="83">
        <v>15</v>
      </c>
      <c r="B45" s="22" t="s">
        <v>224</v>
      </c>
      <c r="C45" s="84"/>
      <c r="D45" s="85"/>
      <c r="E45" s="85"/>
      <c r="F45" s="85"/>
      <c r="G45" s="85"/>
      <c r="H45" s="86"/>
      <c r="I45" s="86"/>
      <c r="J45" s="86"/>
      <c r="K45" s="86"/>
      <c r="L45" s="86"/>
      <c r="M45" s="86"/>
      <c r="N45" s="86"/>
      <c r="O45" s="87"/>
      <c r="P45" s="84">
        <v>11</v>
      </c>
      <c r="Q45" s="87"/>
      <c r="R45" s="84"/>
      <c r="S45" s="87"/>
      <c r="T45" s="84">
        <v>100</v>
      </c>
      <c r="U45" s="87"/>
      <c r="V45" s="83"/>
      <c r="W45" s="84"/>
      <c r="X45" s="83"/>
      <c r="Y45" s="87"/>
      <c r="Z45" s="84"/>
      <c r="AA45" s="84"/>
      <c r="AB45" s="87"/>
      <c r="AC45" s="83"/>
      <c r="AD45" s="88">
        <v>1.3</v>
      </c>
      <c r="AE45" s="84"/>
    </row>
    <row r="46" spans="1:31" ht="65.25" thickBot="1">
      <c r="A46" s="83">
        <v>86</v>
      </c>
      <c r="B46" s="22" t="s">
        <v>206</v>
      </c>
      <c r="C46" s="86">
        <v>25</v>
      </c>
      <c r="D46" s="86"/>
      <c r="E46" s="86"/>
      <c r="F46" s="86"/>
      <c r="G46" s="86"/>
      <c r="H46" s="86"/>
      <c r="I46" s="86"/>
      <c r="J46" s="86"/>
      <c r="K46" s="86"/>
      <c r="L46" s="86"/>
      <c r="M46" s="86">
        <v>10</v>
      </c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7"/>
      <c r="AE46" s="83"/>
    </row>
    <row r="47" spans="1:31" ht="65.25" thickBot="1">
      <c r="A47" s="83"/>
      <c r="B47" s="22" t="s">
        <v>6</v>
      </c>
      <c r="C47" s="84">
        <f aca="true" t="shared" si="6" ref="C47:AE47">SUM(C44:C46)</f>
        <v>25</v>
      </c>
      <c r="D47" s="84">
        <f t="shared" si="6"/>
        <v>0</v>
      </c>
      <c r="E47" s="84">
        <f t="shared" si="6"/>
        <v>0</v>
      </c>
      <c r="F47" s="84">
        <f t="shared" si="6"/>
        <v>0</v>
      </c>
      <c r="G47" s="84">
        <f t="shared" si="6"/>
        <v>28</v>
      </c>
      <c r="H47" s="84">
        <f t="shared" si="6"/>
        <v>0</v>
      </c>
      <c r="I47" s="84">
        <f t="shared" si="6"/>
        <v>0</v>
      </c>
      <c r="J47" s="84">
        <f t="shared" si="6"/>
        <v>0</v>
      </c>
      <c r="K47" s="84">
        <f t="shared" si="6"/>
        <v>0</v>
      </c>
      <c r="L47" s="84">
        <f t="shared" si="6"/>
        <v>0</v>
      </c>
      <c r="M47" s="84">
        <f t="shared" si="6"/>
        <v>10</v>
      </c>
      <c r="N47" s="84">
        <f t="shared" si="6"/>
        <v>0</v>
      </c>
      <c r="O47" s="84">
        <f t="shared" si="6"/>
        <v>0</v>
      </c>
      <c r="P47" s="84">
        <f t="shared" si="6"/>
        <v>16</v>
      </c>
      <c r="Q47" s="84">
        <f t="shared" si="6"/>
        <v>2</v>
      </c>
      <c r="R47" s="84">
        <f t="shared" si="6"/>
        <v>0</v>
      </c>
      <c r="S47" s="84">
        <f t="shared" si="6"/>
        <v>0</v>
      </c>
      <c r="T47" s="84">
        <f t="shared" si="6"/>
        <v>236</v>
      </c>
      <c r="U47" s="84">
        <f t="shared" si="6"/>
        <v>0</v>
      </c>
      <c r="V47" s="84">
        <f t="shared" si="6"/>
        <v>0</v>
      </c>
      <c r="W47" s="84">
        <f t="shared" si="6"/>
        <v>0</v>
      </c>
      <c r="X47" s="84">
        <f t="shared" si="6"/>
        <v>0</v>
      </c>
      <c r="Y47" s="84">
        <f t="shared" si="6"/>
        <v>0</v>
      </c>
      <c r="Z47" s="84">
        <f t="shared" si="6"/>
        <v>0</v>
      </c>
      <c r="AA47" s="84">
        <f t="shared" si="6"/>
        <v>0</v>
      </c>
      <c r="AB47" s="84">
        <f t="shared" si="6"/>
        <v>0</v>
      </c>
      <c r="AC47" s="84">
        <f t="shared" si="6"/>
        <v>0</v>
      </c>
      <c r="AD47" s="84">
        <f t="shared" si="6"/>
        <v>1.3</v>
      </c>
      <c r="AE47" s="84">
        <f t="shared" si="6"/>
        <v>0</v>
      </c>
    </row>
    <row r="48" spans="1:31" ht="65.25" thickBot="1">
      <c r="A48" s="155" t="s">
        <v>53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7"/>
    </row>
    <row r="49" spans="1:31" ht="65.25" thickBot="1">
      <c r="A49" s="83" t="s">
        <v>32</v>
      </c>
      <c r="B49" s="25" t="s">
        <v>182</v>
      </c>
      <c r="C49" s="84"/>
      <c r="D49" s="86"/>
      <c r="E49" s="86"/>
      <c r="F49" s="86"/>
      <c r="G49" s="86"/>
      <c r="H49" s="86"/>
      <c r="I49" s="86"/>
      <c r="J49" s="86"/>
      <c r="K49" s="86">
        <v>150</v>
      </c>
      <c r="L49" s="86"/>
      <c r="M49" s="86"/>
      <c r="N49" s="86"/>
      <c r="O49" s="87"/>
      <c r="P49" s="84"/>
      <c r="Q49" s="87"/>
      <c r="R49" s="84"/>
      <c r="S49" s="87"/>
      <c r="T49" s="84"/>
      <c r="U49" s="87"/>
      <c r="V49" s="84"/>
      <c r="W49" s="84"/>
      <c r="X49" s="87"/>
      <c r="Y49" s="84"/>
      <c r="Z49" s="84"/>
      <c r="AA49" s="87"/>
      <c r="AB49" s="84"/>
      <c r="AC49" s="87"/>
      <c r="AD49" s="88"/>
      <c r="AE49" s="83"/>
    </row>
    <row r="50" spans="1:31" ht="65.25" thickBot="1">
      <c r="A50" s="83"/>
      <c r="B50" s="22" t="s">
        <v>29</v>
      </c>
      <c r="C50" s="86">
        <f>SUM(C49)</f>
        <v>0</v>
      </c>
      <c r="D50" s="86">
        <f>SUM(D49)</f>
        <v>0</v>
      </c>
      <c r="E50" s="86">
        <f aca="true" t="shared" si="7" ref="E50:AD50">SUM(E49)</f>
        <v>0</v>
      </c>
      <c r="F50" s="86">
        <f t="shared" si="7"/>
        <v>0</v>
      </c>
      <c r="G50" s="86">
        <f t="shared" si="7"/>
        <v>0</v>
      </c>
      <c r="H50" s="86">
        <f t="shared" si="7"/>
        <v>0</v>
      </c>
      <c r="I50" s="86">
        <f t="shared" si="7"/>
        <v>0</v>
      </c>
      <c r="J50" s="86">
        <f t="shared" si="7"/>
        <v>0</v>
      </c>
      <c r="K50" s="86">
        <f t="shared" si="7"/>
        <v>150</v>
      </c>
      <c r="L50" s="86">
        <f t="shared" si="7"/>
        <v>0</v>
      </c>
      <c r="M50" s="86">
        <f t="shared" si="7"/>
        <v>0</v>
      </c>
      <c r="N50" s="86">
        <f t="shared" si="7"/>
        <v>0</v>
      </c>
      <c r="O50" s="86">
        <f t="shared" si="7"/>
        <v>0</v>
      </c>
      <c r="P50" s="86">
        <f t="shared" si="7"/>
        <v>0</v>
      </c>
      <c r="Q50" s="86">
        <f t="shared" si="7"/>
        <v>0</v>
      </c>
      <c r="R50" s="86">
        <f t="shared" si="7"/>
        <v>0</v>
      </c>
      <c r="S50" s="86">
        <f t="shared" si="7"/>
        <v>0</v>
      </c>
      <c r="T50" s="86">
        <f t="shared" si="7"/>
        <v>0</v>
      </c>
      <c r="U50" s="86">
        <f t="shared" si="7"/>
        <v>0</v>
      </c>
      <c r="V50" s="86">
        <f t="shared" si="7"/>
        <v>0</v>
      </c>
      <c r="W50" s="86">
        <f t="shared" si="7"/>
        <v>0</v>
      </c>
      <c r="X50" s="86">
        <f t="shared" si="7"/>
        <v>0</v>
      </c>
      <c r="Y50" s="86">
        <f t="shared" si="7"/>
        <v>0</v>
      </c>
      <c r="Z50" s="86">
        <f t="shared" si="7"/>
        <v>0</v>
      </c>
      <c r="AA50" s="86">
        <f t="shared" si="7"/>
        <v>0</v>
      </c>
      <c r="AB50" s="86">
        <f t="shared" si="7"/>
        <v>0</v>
      </c>
      <c r="AC50" s="86">
        <f t="shared" si="7"/>
        <v>0</v>
      </c>
      <c r="AD50" s="87">
        <f t="shared" si="7"/>
        <v>0</v>
      </c>
      <c r="AE50" s="83">
        <f>SUM(AE49)</f>
        <v>0</v>
      </c>
    </row>
    <row r="51" spans="1:31" ht="65.25" thickBot="1">
      <c r="A51" s="155" t="s">
        <v>31</v>
      </c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7"/>
    </row>
    <row r="52" spans="1:31" ht="129.75" thickBot="1">
      <c r="A52" s="84">
        <v>12</v>
      </c>
      <c r="B52" s="22" t="s">
        <v>227</v>
      </c>
      <c r="C52" s="84"/>
      <c r="D52" s="86"/>
      <c r="E52" s="86"/>
      <c r="F52" s="86"/>
      <c r="G52" s="86"/>
      <c r="H52" s="86"/>
      <c r="I52" s="86"/>
      <c r="J52" s="86">
        <v>59.9</v>
      </c>
      <c r="K52" s="86"/>
      <c r="L52" s="86"/>
      <c r="M52" s="86"/>
      <c r="N52" s="86"/>
      <c r="O52" s="87"/>
      <c r="P52" s="83">
        <v>2</v>
      </c>
      <c r="Q52" s="87"/>
      <c r="R52" s="83">
        <v>6</v>
      </c>
      <c r="S52" s="87"/>
      <c r="T52" s="83"/>
      <c r="U52" s="87"/>
      <c r="V52" s="84"/>
      <c r="W52" s="83"/>
      <c r="X52" s="87"/>
      <c r="Y52" s="84"/>
      <c r="Z52" s="83"/>
      <c r="AA52" s="87"/>
      <c r="AB52" s="83"/>
      <c r="AC52" s="84"/>
      <c r="AD52" s="87"/>
      <c r="AE52" s="80"/>
    </row>
    <row r="53" spans="1:31" ht="194.25" thickBot="1">
      <c r="A53" s="83">
        <v>5</v>
      </c>
      <c r="B53" s="22" t="s">
        <v>175</v>
      </c>
      <c r="C53" s="84"/>
      <c r="D53" s="86"/>
      <c r="E53" s="86"/>
      <c r="F53" s="86"/>
      <c r="G53" s="86"/>
      <c r="H53" s="86"/>
      <c r="I53" s="86">
        <v>16</v>
      </c>
      <c r="J53" s="86">
        <v>77</v>
      </c>
      <c r="K53" s="86"/>
      <c r="L53" s="86"/>
      <c r="M53" s="86"/>
      <c r="N53" s="86"/>
      <c r="O53" s="87"/>
      <c r="P53" s="83">
        <v>2</v>
      </c>
      <c r="Q53" s="87"/>
      <c r="R53" s="83">
        <v>3</v>
      </c>
      <c r="S53" s="87"/>
      <c r="T53" s="83"/>
      <c r="U53" s="87"/>
      <c r="V53" s="83"/>
      <c r="W53" s="83">
        <v>13</v>
      </c>
      <c r="X53" s="87"/>
      <c r="Y53" s="83"/>
      <c r="Z53" s="84">
        <v>8</v>
      </c>
      <c r="AA53" s="87"/>
      <c r="AB53" s="83"/>
      <c r="AC53" s="83"/>
      <c r="AD53" s="87"/>
      <c r="AE53" s="83"/>
    </row>
    <row r="54" spans="1:31" ht="129.75" thickBot="1">
      <c r="A54" s="94">
        <v>6</v>
      </c>
      <c r="B54" s="75" t="s">
        <v>74</v>
      </c>
      <c r="C54" s="95">
        <v>12</v>
      </c>
      <c r="D54" s="96"/>
      <c r="E54" s="96"/>
      <c r="F54" s="96"/>
      <c r="G54" s="96"/>
      <c r="H54" s="96"/>
      <c r="I54" s="96"/>
      <c r="J54" s="96">
        <v>5</v>
      </c>
      <c r="K54" s="96"/>
      <c r="L54" s="96"/>
      <c r="M54" s="96"/>
      <c r="N54" s="96"/>
      <c r="O54" s="94"/>
      <c r="P54" s="97"/>
      <c r="Q54" s="94"/>
      <c r="R54" s="97">
        <v>4</v>
      </c>
      <c r="S54" s="94">
        <v>4</v>
      </c>
      <c r="T54" s="97">
        <v>12</v>
      </c>
      <c r="U54" s="98"/>
      <c r="V54" s="121"/>
      <c r="W54" s="95">
        <v>41</v>
      </c>
      <c r="X54" s="97"/>
      <c r="Y54" s="95"/>
      <c r="Z54" s="97"/>
      <c r="AA54" s="94"/>
      <c r="AB54" s="94"/>
      <c r="AC54" s="97"/>
      <c r="AD54" s="98"/>
      <c r="AE54" s="94"/>
    </row>
    <row r="55" spans="1:31" ht="65.25" thickBot="1">
      <c r="A55" s="84">
        <v>79</v>
      </c>
      <c r="B55" s="22" t="s">
        <v>262</v>
      </c>
      <c r="C55" s="84"/>
      <c r="D55" s="86"/>
      <c r="E55" s="86"/>
      <c r="F55" s="86"/>
      <c r="G55" s="86"/>
      <c r="H55" s="86"/>
      <c r="I55" s="86">
        <v>129</v>
      </c>
      <c r="J55" s="86"/>
      <c r="K55" s="86"/>
      <c r="L55" s="86"/>
      <c r="M55" s="86"/>
      <c r="N55" s="86"/>
      <c r="O55" s="87"/>
      <c r="P55" s="83"/>
      <c r="Q55" s="87">
        <v>6</v>
      </c>
      <c r="R55" s="83"/>
      <c r="S55" s="87"/>
      <c r="T55" s="83"/>
      <c r="U55" s="90"/>
      <c r="V55" s="83"/>
      <c r="W55" s="83"/>
      <c r="X55" s="87"/>
      <c r="Y55" s="83"/>
      <c r="Z55" s="83"/>
      <c r="AA55" s="87"/>
      <c r="AB55" s="83"/>
      <c r="AC55" s="87"/>
      <c r="AD55" s="90"/>
      <c r="AE55" s="83"/>
    </row>
    <row r="56" spans="1:31" ht="194.25" thickBot="1">
      <c r="A56" s="83">
        <v>20</v>
      </c>
      <c r="B56" s="22" t="s">
        <v>232</v>
      </c>
      <c r="C56" s="84"/>
      <c r="D56" s="85"/>
      <c r="E56" s="85"/>
      <c r="F56" s="85">
        <v>9.5</v>
      </c>
      <c r="G56" s="85"/>
      <c r="H56" s="86"/>
      <c r="I56" s="86"/>
      <c r="J56" s="86"/>
      <c r="K56" s="86"/>
      <c r="L56" s="86"/>
      <c r="M56" s="86"/>
      <c r="N56" s="86"/>
      <c r="O56" s="87"/>
      <c r="P56" s="84">
        <v>8</v>
      </c>
      <c r="Q56" s="87"/>
      <c r="R56" s="84"/>
      <c r="S56" s="87"/>
      <c r="T56" s="84"/>
      <c r="U56" s="87"/>
      <c r="V56" s="83"/>
      <c r="W56" s="84"/>
      <c r="X56" s="87"/>
      <c r="Y56" s="83"/>
      <c r="Z56" s="84"/>
      <c r="AA56" s="84"/>
      <c r="AB56" s="87"/>
      <c r="AC56" s="83"/>
      <c r="AD56" s="88"/>
      <c r="AE56" s="84"/>
    </row>
    <row r="57" spans="1:31" ht="129.75" thickBot="1">
      <c r="A57" s="83" t="s">
        <v>32</v>
      </c>
      <c r="B57" s="22" t="s">
        <v>56</v>
      </c>
      <c r="C57" s="84">
        <v>25</v>
      </c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7"/>
      <c r="V57" s="83"/>
      <c r="W57" s="86"/>
      <c r="X57" s="87"/>
      <c r="Y57" s="83"/>
      <c r="Z57" s="86"/>
      <c r="AA57" s="86"/>
      <c r="AB57" s="86"/>
      <c r="AC57" s="86"/>
      <c r="AD57" s="87"/>
      <c r="AE57" s="83"/>
    </row>
    <row r="58" spans="1:31" ht="129.75" thickBot="1">
      <c r="A58" s="83" t="s">
        <v>32</v>
      </c>
      <c r="B58" s="22" t="s">
        <v>58</v>
      </c>
      <c r="C58" s="84"/>
      <c r="D58" s="86">
        <v>50</v>
      </c>
      <c r="E58" s="85"/>
      <c r="F58" s="85"/>
      <c r="G58" s="85"/>
      <c r="H58" s="86"/>
      <c r="I58" s="86"/>
      <c r="J58" s="86"/>
      <c r="K58" s="86"/>
      <c r="L58" s="86"/>
      <c r="M58" s="86"/>
      <c r="N58" s="86"/>
      <c r="O58" s="87"/>
      <c r="P58" s="84"/>
      <c r="Q58" s="87"/>
      <c r="R58" s="84"/>
      <c r="S58" s="87"/>
      <c r="T58" s="84"/>
      <c r="U58" s="87"/>
      <c r="V58" s="83"/>
      <c r="W58" s="84"/>
      <c r="X58" s="87"/>
      <c r="Y58" s="83"/>
      <c r="Z58" s="84"/>
      <c r="AA58" s="84"/>
      <c r="AB58" s="87"/>
      <c r="AC58" s="83"/>
      <c r="AD58" s="88"/>
      <c r="AE58" s="84"/>
    </row>
    <row r="59" spans="1:31" ht="65.25" thickBot="1">
      <c r="A59" s="84"/>
      <c r="B59" s="25" t="s">
        <v>6</v>
      </c>
      <c r="C59" s="84">
        <f aca="true" t="shared" si="8" ref="C59:AE59">SUM(C52:C58)</f>
        <v>37</v>
      </c>
      <c r="D59" s="84">
        <f t="shared" si="8"/>
        <v>50</v>
      </c>
      <c r="E59" s="84">
        <f t="shared" si="8"/>
        <v>0</v>
      </c>
      <c r="F59" s="84">
        <f t="shared" si="8"/>
        <v>9.5</v>
      </c>
      <c r="G59" s="84">
        <f t="shared" si="8"/>
        <v>0</v>
      </c>
      <c r="H59" s="84">
        <f t="shared" si="8"/>
        <v>0</v>
      </c>
      <c r="I59" s="84">
        <f t="shared" si="8"/>
        <v>145</v>
      </c>
      <c r="J59" s="84">
        <f t="shared" si="8"/>
        <v>141.9</v>
      </c>
      <c r="K59" s="84">
        <f t="shared" si="8"/>
        <v>0</v>
      </c>
      <c r="L59" s="84">
        <f t="shared" si="8"/>
        <v>0</v>
      </c>
      <c r="M59" s="84">
        <f t="shared" si="8"/>
        <v>0</v>
      </c>
      <c r="N59" s="84">
        <f t="shared" si="8"/>
        <v>0</v>
      </c>
      <c r="O59" s="84">
        <f t="shared" si="8"/>
        <v>0</v>
      </c>
      <c r="P59" s="84">
        <f t="shared" si="8"/>
        <v>12</v>
      </c>
      <c r="Q59" s="84">
        <f t="shared" si="8"/>
        <v>6</v>
      </c>
      <c r="R59" s="84">
        <f t="shared" si="8"/>
        <v>13</v>
      </c>
      <c r="S59" s="84">
        <f t="shared" si="8"/>
        <v>4</v>
      </c>
      <c r="T59" s="84">
        <f t="shared" si="8"/>
        <v>12</v>
      </c>
      <c r="U59" s="84">
        <f t="shared" si="8"/>
        <v>0</v>
      </c>
      <c r="V59" s="84">
        <f t="shared" si="8"/>
        <v>0</v>
      </c>
      <c r="W59" s="84">
        <f t="shared" si="8"/>
        <v>54</v>
      </c>
      <c r="X59" s="84">
        <f t="shared" si="8"/>
        <v>0</v>
      </c>
      <c r="Y59" s="84">
        <f t="shared" si="8"/>
        <v>0</v>
      </c>
      <c r="Z59" s="84">
        <f t="shared" si="8"/>
        <v>8</v>
      </c>
      <c r="AA59" s="84">
        <f t="shared" si="8"/>
        <v>0</v>
      </c>
      <c r="AB59" s="84">
        <f t="shared" si="8"/>
        <v>0</v>
      </c>
      <c r="AC59" s="84">
        <f t="shared" si="8"/>
        <v>0</v>
      </c>
      <c r="AD59" s="84">
        <f t="shared" si="8"/>
        <v>0</v>
      </c>
      <c r="AE59" s="84">
        <f t="shared" si="8"/>
        <v>0</v>
      </c>
    </row>
    <row r="60" spans="1:31" ht="65.25" thickBot="1">
      <c r="A60" s="150" t="s">
        <v>145</v>
      </c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2"/>
    </row>
    <row r="61" spans="1:31" ht="129.75" thickBot="1">
      <c r="A61" s="92">
        <v>21.1</v>
      </c>
      <c r="B61" s="27" t="s">
        <v>172</v>
      </c>
      <c r="C61" s="83"/>
      <c r="D61" s="86"/>
      <c r="E61" s="83"/>
      <c r="F61" s="83"/>
      <c r="G61" s="83"/>
      <c r="H61" s="86"/>
      <c r="I61" s="86"/>
      <c r="J61" s="86"/>
      <c r="K61" s="86"/>
      <c r="L61" s="86"/>
      <c r="M61" s="86"/>
      <c r="N61" s="86"/>
      <c r="O61" s="87"/>
      <c r="P61" s="84"/>
      <c r="Q61" s="87"/>
      <c r="R61" s="84"/>
      <c r="S61" s="87"/>
      <c r="T61" s="84">
        <v>185</v>
      </c>
      <c r="U61" s="87"/>
      <c r="V61" s="84"/>
      <c r="W61" s="84"/>
      <c r="X61" s="87"/>
      <c r="Y61" s="84"/>
      <c r="Z61" s="84"/>
      <c r="AA61" s="87"/>
      <c r="AB61" s="84"/>
      <c r="AC61" s="87"/>
      <c r="AD61" s="88"/>
      <c r="AE61" s="83"/>
    </row>
    <row r="62" spans="1:31" ht="65.25" thickBot="1">
      <c r="A62" s="83">
        <v>36</v>
      </c>
      <c r="B62" s="22" t="s">
        <v>57</v>
      </c>
      <c r="C62" s="84"/>
      <c r="D62" s="86"/>
      <c r="E62" s="86">
        <v>43</v>
      </c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>
        <v>10</v>
      </c>
      <c r="Q62" s="86">
        <v>3</v>
      </c>
      <c r="R62" s="86">
        <v>1</v>
      </c>
      <c r="S62" s="86">
        <v>10</v>
      </c>
      <c r="T62" s="86"/>
      <c r="U62" s="86"/>
      <c r="V62" s="86"/>
      <c r="W62" s="86"/>
      <c r="X62" s="86"/>
      <c r="Y62" s="86"/>
      <c r="Z62" s="86">
        <v>27</v>
      </c>
      <c r="AA62" s="86"/>
      <c r="AB62" s="86"/>
      <c r="AC62" s="86"/>
      <c r="AD62" s="87"/>
      <c r="AE62" s="83"/>
    </row>
    <row r="63" spans="1:31" ht="65.25" thickBot="1">
      <c r="A63" s="84"/>
      <c r="B63" s="22" t="s">
        <v>29</v>
      </c>
      <c r="C63" s="84">
        <f aca="true" t="shared" si="9" ref="C63:AE63">C61+C62</f>
        <v>0</v>
      </c>
      <c r="D63" s="84">
        <f t="shared" si="9"/>
        <v>0</v>
      </c>
      <c r="E63" s="84">
        <f t="shared" si="9"/>
        <v>43</v>
      </c>
      <c r="F63" s="84">
        <f t="shared" si="9"/>
        <v>0</v>
      </c>
      <c r="G63" s="84">
        <f t="shared" si="9"/>
        <v>0</v>
      </c>
      <c r="H63" s="84">
        <f t="shared" si="9"/>
        <v>0</v>
      </c>
      <c r="I63" s="84">
        <f t="shared" si="9"/>
        <v>0</v>
      </c>
      <c r="J63" s="84">
        <f t="shared" si="9"/>
        <v>0</v>
      </c>
      <c r="K63" s="84">
        <f t="shared" si="9"/>
        <v>0</v>
      </c>
      <c r="L63" s="84">
        <f t="shared" si="9"/>
        <v>0</v>
      </c>
      <c r="M63" s="84">
        <f t="shared" si="9"/>
        <v>0</v>
      </c>
      <c r="N63" s="84">
        <f t="shared" si="9"/>
        <v>0</v>
      </c>
      <c r="O63" s="84">
        <f t="shared" si="9"/>
        <v>0</v>
      </c>
      <c r="P63" s="84">
        <f t="shared" si="9"/>
        <v>10</v>
      </c>
      <c r="Q63" s="84">
        <f t="shared" si="9"/>
        <v>3</v>
      </c>
      <c r="R63" s="84">
        <f t="shared" si="9"/>
        <v>1</v>
      </c>
      <c r="S63" s="84">
        <f t="shared" si="9"/>
        <v>10</v>
      </c>
      <c r="T63" s="84">
        <f t="shared" si="9"/>
        <v>185</v>
      </c>
      <c r="U63" s="84">
        <f t="shared" si="9"/>
        <v>0</v>
      </c>
      <c r="V63" s="84">
        <f t="shared" si="9"/>
        <v>0</v>
      </c>
      <c r="W63" s="84">
        <f t="shared" si="9"/>
        <v>0</v>
      </c>
      <c r="X63" s="84">
        <f t="shared" si="9"/>
        <v>0</v>
      </c>
      <c r="Y63" s="84">
        <f t="shared" si="9"/>
        <v>0</v>
      </c>
      <c r="Z63" s="84">
        <f t="shared" si="9"/>
        <v>27</v>
      </c>
      <c r="AA63" s="84">
        <f t="shared" si="9"/>
        <v>0</v>
      </c>
      <c r="AB63" s="84">
        <f t="shared" si="9"/>
        <v>0</v>
      </c>
      <c r="AC63" s="84">
        <f t="shared" si="9"/>
        <v>0</v>
      </c>
      <c r="AD63" s="84">
        <f t="shared" si="9"/>
        <v>0</v>
      </c>
      <c r="AE63" s="84">
        <f t="shared" si="9"/>
        <v>0</v>
      </c>
    </row>
    <row r="64" spans="1:31" ht="65.25" thickBot="1">
      <c r="A64" s="155" t="s">
        <v>144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7"/>
    </row>
    <row r="65" spans="1:31" ht="129.75" thickBot="1">
      <c r="A65" s="84">
        <v>37</v>
      </c>
      <c r="B65" s="25" t="s">
        <v>35</v>
      </c>
      <c r="C65" s="84"/>
      <c r="D65" s="85"/>
      <c r="E65" s="85"/>
      <c r="F65" s="85"/>
      <c r="G65" s="85"/>
      <c r="H65" s="86"/>
      <c r="I65" s="86"/>
      <c r="J65" s="86"/>
      <c r="K65" s="86"/>
      <c r="L65" s="86"/>
      <c r="M65" s="86"/>
      <c r="N65" s="86"/>
      <c r="O65" s="86"/>
      <c r="P65" s="86"/>
      <c r="Q65" s="86">
        <v>3</v>
      </c>
      <c r="R65" s="86"/>
      <c r="S65" s="86">
        <v>80</v>
      </c>
      <c r="T65" s="86">
        <v>73</v>
      </c>
      <c r="U65" s="87"/>
      <c r="V65" s="84"/>
      <c r="W65" s="87"/>
      <c r="X65" s="84"/>
      <c r="Y65" s="86"/>
      <c r="Z65" s="86"/>
      <c r="AA65" s="86"/>
      <c r="AB65" s="86"/>
      <c r="AC65" s="86"/>
      <c r="AD65" s="87"/>
      <c r="AE65" s="83"/>
    </row>
    <row r="66" spans="1:31" ht="129.75" thickBot="1">
      <c r="A66" s="84">
        <v>38</v>
      </c>
      <c r="B66" s="22" t="s">
        <v>269</v>
      </c>
      <c r="C66" s="84"/>
      <c r="D66" s="86"/>
      <c r="E66" s="86"/>
      <c r="F66" s="86"/>
      <c r="G66" s="86"/>
      <c r="H66" s="86"/>
      <c r="I66" s="86"/>
      <c r="J66" s="86">
        <v>40</v>
      </c>
      <c r="K66" s="86"/>
      <c r="L66" s="86"/>
      <c r="M66" s="86"/>
      <c r="N66" s="87"/>
      <c r="O66" s="83"/>
      <c r="P66" s="87"/>
      <c r="Q66" s="83"/>
      <c r="R66" s="87"/>
      <c r="S66" s="83"/>
      <c r="T66" s="87"/>
      <c r="U66" s="84"/>
      <c r="V66" s="83"/>
      <c r="W66" s="87"/>
      <c r="X66" s="84"/>
      <c r="Y66" s="83"/>
      <c r="Z66" s="87"/>
      <c r="AA66" s="83"/>
      <c r="AB66" s="84"/>
      <c r="AC66" s="88"/>
      <c r="AD66" s="83"/>
      <c r="AE66" s="84"/>
    </row>
    <row r="67" spans="1:31" ht="65.25" thickBot="1">
      <c r="A67" s="84">
        <v>13</v>
      </c>
      <c r="B67" s="23" t="s">
        <v>7</v>
      </c>
      <c r="C67" s="84"/>
      <c r="D67" s="85"/>
      <c r="E67" s="85"/>
      <c r="F67" s="85"/>
      <c r="G67" s="85"/>
      <c r="H67" s="86"/>
      <c r="I67" s="86"/>
      <c r="J67" s="86"/>
      <c r="K67" s="86"/>
      <c r="L67" s="86"/>
      <c r="M67" s="86"/>
      <c r="N67" s="86"/>
      <c r="O67" s="87"/>
      <c r="P67" s="84">
        <v>12</v>
      </c>
      <c r="Q67" s="87"/>
      <c r="R67" s="84"/>
      <c r="S67" s="87"/>
      <c r="T67" s="84"/>
      <c r="U67" s="84"/>
      <c r="V67" s="87"/>
      <c r="W67" s="84"/>
      <c r="X67" s="87"/>
      <c r="Y67" s="84"/>
      <c r="Z67" s="84"/>
      <c r="AA67" s="87"/>
      <c r="AB67" s="84">
        <v>0.58</v>
      </c>
      <c r="AC67" s="84"/>
      <c r="AD67" s="87"/>
      <c r="AE67" s="83"/>
    </row>
    <row r="68" spans="1:31" ht="129.75" thickBot="1">
      <c r="A68" s="83">
        <v>69</v>
      </c>
      <c r="B68" s="22" t="s">
        <v>106</v>
      </c>
      <c r="C68" s="84"/>
      <c r="D68" s="86"/>
      <c r="E68" s="86"/>
      <c r="F68" s="86"/>
      <c r="G68" s="86"/>
      <c r="H68" s="86"/>
      <c r="I68" s="86"/>
      <c r="J68" s="86"/>
      <c r="K68" s="86"/>
      <c r="L68" s="86"/>
      <c r="M68" s="86">
        <v>85</v>
      </c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7"/>
      <c r="AE68" s="84"/>
    </row>
    <row r="69" spans="1:31" ht="129.75" thickBot="1">
      <c r="A69" s="83" t="s">
        <v>32</v>
      </c>
      <c r="B69" s="22" t="s">
        <v>56</v>
      </c>
      <c r="C69" s="84">
        <v>25</v>
      </c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7"/>
      <c r="V69" s="83"/>
      <c r="W69" s="86"/>
      <c r="X69" s="87"/>
      <c r="Y69" s="83"/>
      <c r="Z69" s="86"/>
      <c r="AA69" s="86"/>
      <c r="AB69" s="86"/>
      <c r="AC69" s="86"/>
      <c r="AD69" s="87"/>
      <c r="AE69" s="83"/>
    </row>
    <row r="70" spans="1:31" ht="65.25" thickBot="1">
      <c r="A70" s="80"/>
      <c r="B70" s="22" t="s">
        <v>6</v>
      </c>
      <c r="C70" s="84">
        <f aca="true" t="shared" si="10" ref="C70:AE70">SUM(C65:C69)</f>
        <v>25</v>
      </c>
      <c r="D70" s="84">
        <f t="shared" si="10"/>
        <v>0</v>
      </c>
      <c r="E70" s="84">
        <f t="shared" si="10"/>
        <v>0</v>
      </c>
      <c r="F70" s="84">
        <f t="shared" si="10"/>
        <v>0</v>
      </c>
      <c r="G70" s="84">
        <f t="shared" si="10"/>
        <v>0</v>
      </c>
      <c r="H70" s="84">
        <f t="shared" si="10"/>
        <v>0</v>
      </c>
      <c r="I70" s="84">
        <f t="shared" si="10"/>
        <v>0</v>
      </c>
      <c r="J70" s="84">
        <f t="shared" si="10"/>
        <v>40</v>
      </c>
      <c r="K70" s="84">
        <f t="shared" si="10"/>
        <v>0</v>
      </c>
      <c r="L70" s="84">
        <f t="shared" si="10"/>
        <v>0</v>
      </c>
      <c r="M70" s="84">
        <f t="shared" si="10"/>
        <v>85</v>
      </c>
      <c r="N70" s="84">
        <f t="shared" si="10"/>
        <v>0</v>
      </c>
      <c r="O70" s="84">
        <f t="shared" si="10"/>
        <v>0</v>
      </c>
      <c r="P70" s="84">
        <f t="shared" si="10"/>
        <v>12</v>
      </c>
      <c r="Q70" s="84">
        <f t="shared" si="10"/>
        <v>3</v>
      </c>
      <c r="R70" s="84">
        <f t="shared" si="10"/>
        <v>0</v>
      </c>
      <c r="S70" s="84">
        <f t="shared" si="10"/>
        <v>80</v>
      </c>
      <c r="T70" s="84">
        <f t="shared" si="10"/>
        <v>73</v>
      </c>
      <c r="U70" s="84">
        <f t="shared" si="10"/>
        <v>0</v>
      </c>
      <c r="V70" s="84">
        <f t="shared" si="10"/>
        <v>0</v>
      </c>
      <c r="W70" s="84">
        <f t="shared" si="10"/>
        <v>0</v>
      </c>
      <c r="X70" s="84">
        <f t="shared" si="10"/>
        <v>0</v>
      </c>
      <c r="Y70" s="84">
        <f t="shared" si="10"/>
        <v>0</v>
      </c>
      <c r="Z70" s="84">
        <f t="shared" si="10"/>
        <v>0</v>
      </c>
      <c r="AA70" s="84">
        <f t="shared" si="10"/>
        <v>0</v>
      </c>
      <c r="AB70" s="84">
        <f t="shared" si="10"/>
        <v>0.58</v>
      </c>
      <c r="AC70" s="84">
        <f t="shared" si="10"/>
        <v>0</v>
      </c>
      <c r="AD70" s="84">
        <f t="shared" si="10"/>
        <v>0</v>
      </c>
      <c r="AE70" s="84">
        <f t="shared" si="10"/>
        <v>0</v>
      </c>
    </row>
    <row r="71" spans="1:31" ht="194.25" thickBot="1">
      <c r="A71" s="145"/>
      <c r="B71" s="22" t="s">
        <v>150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8"/>
      <c r="AE71" s="84"/>
    </row>
    <row r="72" spans="1:31" ht="65.25" thickBot="1">
      <c r="A72" s="83"/>
      <c r="B72" s="93" t="s">
        <v>10</v>
      </c>
      <c r="C72" s="84">
        <f aca="true" t="shared" si="11" ref="C72:AE72">C47+C50+C59+C63+C70</f>
        <v>87</v>
      </c>
      <c r="D72" s="84">
        <f t="shared" si="11"/>
        <v>50</v>
      </c>
      <c r="E72" s="84">
        <f t="shared" si="11"/>
        <v>43</v>
      </c>
      <c r="F72" s="84">
        <f t="shared" si="11"/>
        <v>9.5</v>
      </c>
      <c r="G72" s="84">
        <f t="shared" si="11"/>
        <v>28</v>
      </c>
      <c r="H72" s="84">
        <f t="shared" si="11"/>
        <v>0</v>
      </c>
      <c r="I72" s="84">
        <f t="shared" si="11"/>
        <v>145</v>
      </c>
      <c r="J72" s="84">
        <f t="shared" si="11"/>
        <v>181.9</v>
      </c>
      <c r="K72" s="84">
        <f t="shared" si="11"/>
        <v>150</v>
      </c>
      <c r="L72" s="84">
        <f t="shared" si="11"/>
        <v>0</v>
      </c>
      <c r="M72" s="84">
        <f t="shared" si="11"/>
        <v>95</v>
      </c>
      <c r="N72" s="84">
        <f t="shared" si="11"/>
        <v>0</v>
      </c>
      <c r="O72" s="84">
        <f t="shared" si="11"/>
        <v>0</v>
      </c>
      <c r="P72" s="84">
        <f t="shared" si="11"/>
        <v>50</v>
      </c>
      <c r="Q72" s="84">
        <f t="shared" si="11"/>
        <v>14</v>
      </c>
      <c r="R72" s="84">
        <f t="shared" si="11"/>
        <v>14</v>
      </c>
      <c r="S72" s="84">
        <f t="shared" si="11"/>
        <v>94</v>
      </c>
      <c r="T72" s="84">
        <f t="shared" si="11"/>
        <v>506</v>
      </c>
      <c r="U72" s="84">
        <f t="shared" si="11"/>
        <v>0</v>
      </c>
      <c r="V72" s="84">
        <f t="shared" si="11"/>
        <v>0</v>
      </c>
      <c r="W72" s="84">
        <f t="shared" si="11"/>
        <v>54</v>
      </c>
      <c r="X72" s="84">
        <f t="shared" si="11"/>
        <v>0</v>
      </c>
      <c r="Y72" s="84">
        <f t="shared" si="11"/>
        <v>0</v>
      </c>
      <c r="Z72" s="84">
        <f t="shared" si="11"/>
        <v>35</v>
      </c>
      <c r="AA72" s="84">
        <f t="shared" si="11"/>
        <v>0</v>
      </c>
      <c r="AB72" s="84">
        <f t="shared" si="11"/>
        <v>0.58</v>
      </c>
      <c r="AC72" s="84">
        <f t="shared" si="11"/>
        <v>0</v>
      </c>
      <c r="AD72" s="84">
        <f t="shared" si="11"/>
        <v>1.3</v>
      </c>
      <c r="AE72" s="84">
        <f t="shared" si="11"/>
        <v>0</v>
      </c>
    </row>
    <row r="73" spans="1:31" ht="65.25" thickBot="1">
      <c r="A73" s="150" t="s">
        <v>40</v>
      </c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2"/>
    </row>
    <row r="74" spans="1:31" ht="65.25" thickBot="1">
      <c r="A74" s="150" t="s">
        <v>13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2"/>
    </row>
    <row r="75" spans="1:31" ht="45.75" customHeight="1">
      <c r="A75" s="166" t="s">
        <v>30</v>
      </c>
      <c r="B75" s="168" t="s">
        <v>23</v>
      </c>
      <c r="C75" s="153" t="s">
        <v>116</v>
      </c>
      <c r="D75" s="153" t="s">
        <v>117</v>
      </c>
      <c r="E75" s="153" t="s">
        <v>130</v>
      </c>
      <c r="F75" s="153" t="s">
        <v>119</v>
      </c>
      <c r="G75" s="153" t="s">
        <v>131</v>
      </c>
      <c r="H75" s="153" t="s">
        <v>132</v>
      </c>
      <c r="I75" s="153" t="s">
        <v>110</v>
      </c>
      <c r="J75" s="153" t="s">
        <v>257</v>
      </c>
      <c r="K75" s="140"/>
      <c r="L75" s="140"/>
      <c r="M75" s="153" t="s">
        <v>142</v>
      </c>
      <c r="N75" s="153" t="s">
        <v>79</v>
      </c>
      <c r="O75" s="153" t="s">
        <v>139</v>
      </c>
      <c r="P75" s="153" t="s">
        <v>80</v>
      </c>
      <c r="Q75" s="153" t="s">
        <v>124</v>
      </c>
      <c r="R75" s="153" t="s">
        <v>81</v>
      </c>
      <c r="S75" s="153" t="s">
        <v>134</v>
      </c>
      <c r="T75" s="153" t="s">
        <v>135</v>
      </c>
      <c r="U75" s="153" t="s">
        <v>136</v>
      </c>
      <c r="V75" s="140"/>
      <c r="W75" s="153" t="s">
        <v>113</v>
      </c>
      <c r="X75" s="153" t="s">
        <v>129</v>
      </c>
      <c r="Y75" s="153" t="s">
        <v>84</v>
      </c>
      <c r="Z75" s="153" t="s">
        <v>82</v>
      </c>
      <c r="AA75" s="153" t="s">
        <v>83</v>
      </c>
      <c r="AB75" s="153" t="s">
        <v>85</v>
      </c>
      <c r="AC75" s="140"/>
      <c r="AD75" s="158" t="s">
        <v>78</v>
      </c>
      <c r="AE75" s="153" t="s">
        <v>137</v>
      </c>
    </row>
    <row r="76" spans="1:31" s="82" customFormat="1" ht="409.5" customHeight="1" thickBot="1">
      <c r="A76" s="167"/>
      <c r="B76" s="169"/>
      <c r="C76" s="154"/>
      <c r="D76" s="154"/>
      <c r="E76" s="154"/>
      <c r="F76" s="154"/>
      <c r="G76" s="154"/>
      <c r="H76" s="154"/>
      <c r="I76" s="154"/>
      <c r="J76" s="154"/>
      <c r="K76" s="141" t="s">
        <v>133</v>
      </c>
      <c r="L76" s="141" t="s">
        <v>143</v>
      </c>
      <c r="M76" s="154"/>
      <c r="N76" s="154"/>
      <c r="O76" s="154"/>
      <c r="P76" s="154"/>
      <c r="Q76" s="154"/>
      <c r="R76" s="154"/>
      <c r="S76" s="154"/>
      <c r="T76" s="154"/>
      <c r="U76" s="154"/>
      <c r="V76" s="141" t="s">
        <v>140</v>
      </c>
      <c r="W76" s="154"/>
      <c r="X76" s="154"/>
      <c r="Y76" s="154"/>
      <c r="Z76" s="154"/>
      <c r="AA76" s="154"/>
      <c r="AB76" s="154"/>
      <c r="AC76" s="141" t="s">
        <v>77</v>
      </c>
      <c r="AD76" s="159"/>
      <c r="AE76" s="154"/>
    </row>
    <row r="77" spans="1:31" ht="65.25" thickBot="1">
      <c r="A77" s="145">
        <v>1</v>
      </c>
      <c r="B77" s="79">
        <v>2</v>
      </c>
      <c r="C77" s="80" t="s">
        <v>54</v>
      </c>
      <c r="D77" s="81">
        <v>4</v>
      </c>
      <c r="E77" s="80">
        <v>5</v>
      </c>
      <c r="F77" s="80">
        <v>6</v>
      </c>
      <c r="G77" s="80">
        <v>7</v>
      </c>
      <c r="H77" s="80">
        <v>8</v>
      </c>
      <c r="I77" s="80" t="s">
        <v>55</v>
      </c>
      <c r="J77" s="81">
        <v>10</v>
      </c>
      <c r="K77" s="80">
        <v>11</v>
      </c>
      <c r="L77" s="108">
        <v>12</v>
      </c>
      <c r="M77" s="80">
        <v>13</v>
      </c>
      <c r="N77" s="80">
        <v>14</v>
      </c>
      <c r="O77" s="80">
        <v>15</v>
      </c>
      <c r="P77" s="80">
        <v>16</v>
      </c>
      <c r="Q77" s="143">
        <v>17</v>
      </c>
      <c r="R77" s="80">
        <v>18</v>
      </c>
      <c r="S77" s="143">
        <v>19</v>
      </c>
      <c r="T77" s="80">
        <v>20</v>
      </c>
      <c r="U77" s="143">
        <v>21</v>
      </c>
      <c r="V77" s="143">
        <v>22</v>
      </c>
      <c r="W77" s="80">
        <v>23</v>
      </c>
      <c r="X77" s="80">
        <v>24</v>
      </c>
      <c r="Y77" s="143">
        <v>25</v>
      </c>
      <c r="Z77" s="80">
        <v>26</v>
      </c>
      <c r="AA77" s="80">
        <v>27</v>
      </c>
      <c r="AB77" s="80">
        <v>28</v>
      </c>
      <c r="AC77" s="143">
        <v>29</v>
      </c>
      <c r="AD77" s="142">
        <v>30</v>
      </c>
      <c r="AE77" s="80">
        <v>32</v>
      </c>
    </row>
    <row r="78" spans="1:31" ht="65.25" customHeight="1" thickBot="1">
      <c r="A78" s="150" t="s">
        <v>5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2"/>
    </row>
    <row r="79" spans="1:31" ht="65.25" customHeight="1" thickBot="1">
      <c r="A79" s="84">
        <v>32</v>
      </c>
      <c r="B79" s="25" t="s">
        <v>218</v>
      </c>
      <c r="C79" s="84"/>
      <c r="D79" s="85"/>
      <c r="E79" s="85"/>
      <c r="F79" s="85"/>
      <c r="G79" s="85">
        <v>18</v>
      </c>
      <c r="H79" s="86"/>
      <c r="I79" s="86"/>
      <c r="J79" s="86"/>
      <c r="K79" s="86"/>
      <c r="L79" s="86"/>
      <c r="M79" s="86"/>
      <c r="N79" s="86"/>
      <c r="O79" s="86"/>
      <c r="P79" s="86">
        <v>5</v>
      </c>
      <c r="Q79" s="86">
        <v>2</v>
      </c>
      <c r="R79" s="86"/>
      <c r="S79" s="86"/>
      <c r="T79" s="86">
        <v>136</v>
      </c>
      <c r="U79" s="87"/>
      <c r="V79" s="84"/>
      <c r="W79" s="87"/>
      <c r="X79" s="84"/>
      <c r="Y79" s="86"/>
      <c r="Z79" s="86"/>
      <c r="AA79" s="86"/>
      <c r="AB79" s="86"/>
      <c r="AC79" s="86"/>
      <c r="AD79" s="87"/>
      <c r="AE79" s="83"/>
    </row>
    <row r="80" spans="1:31" ht="65.25" customHeight="1" thickBot="1">
      <c r="A80" s="83">
        <v>2</v>
      </c>
      <c r="B80" s="22" t="s">
        <v>69</v>
      </c>
      <c r="C80" s="84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3"/>
      <c r="P80" s="84">
        <v>11</v>
      </c>
      <c r="Q80" s="83"/>
      <c r="R80" s="87"/>
      <c r="S80" s="83"/>
      <c r="T80" s="84">
        <v>100</v>
      </c>
      <c r="U80" s="83"/>
      <c r="V80" s="87"/>
      <c r="W80" s="83"/>
      <c r="X80" s="87"/>
      <c r="Y80" s="83"/>
      <c r="Z80" s="87"/>
      <c r="AA80" s="83"/>
      <c r="AB80" s="87"/>
      <c r="AC80" s="83">
        <v>2.4</v>
      </c>
      <c r="AD80" s="90"/>
      <c r="AE80" s="84"/>
    </row>
    <row r="81" spans="1:31" ht="65.25" customHeight="1" thickBot="1">
      <c r="A81" s="83">
        <v>3</v>
      </c>
      <c r="B81" s="22" t="s">
        <v>38</v>
      </c>
      <c r="C81" s="86">
        <v>25</v>
      </c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3"/>
      <c r="P81" s="87"/>
      <c r="Q81" s="84">
        <v>5</v>
      </c>
      <c r="R81" s="87"/>
      <c r="S81" s="83"/>
      <c r="T81" s="87"/>
      <c r="U81" s="90"/>
      <c r="V81" s="83"/>
      <c r="W81" s="84"/>
      <c r="X81" s="87"/>
      <c r="Y81" s="83"/>
      <c r="Z81" s="87"/>
      <c r="AA81" s="83">
        <v>13</v>
      </c>
      <c r="AB81" s="87"/>
      <c r="AC81" s="83"/>
      <c r="AD81" s="87"/>
      <c r="AE81" s="83"/>
    </row>
    <row r="82" spans="1:31" ht="65.25" customHeight="1" thickBot="1">
      <c r="A82" s="83"/>
      <c r="B82" s="22" t="s">
        <v>6</v>
      </c>
      <c r="C82" s="84">
        <f>SUM(C79+C80+C81)</f>
        <v>25</v>
      </c>
      <c r="D82" s="84">
        <f aca="true" t="shared" si="12" ref="D82:AE82">SUM(D79+D80+D81)</f>
        <v>0</v>
      </c>
      <c r="E82" s="84">
        <f t="shared" si="12"/>
        <v>0</v>
      </c>
      <c r="F82" s="84">
        <f t="shared" si="12"/>
        <v>0</v>
      </c>
      <c r="G82" s="84">
        <f t="shared" si="12"/>
        <v>18</v>
      </c>
      <c r="H82" s="84">
        <f t="shared" si="12"/>
        <v>0</v>
      </c>
      <c r="I82" s="84">
        <f t="shared" si="12"/>
        <v>0</v>
      </c>
      <c r="J82" s="84">
        <f t="shared" si="12"/>
        <v>0</v>
      </c>
      <c r="K82" s="84">
        <f t="shared" si="12"/>
        <v>0</v>
      </c>
      <c r="L82" s="84">
        <f t="shared" si="12"/>
        <v>0</v>
      </c>
      <c r="M82" s="84">
        <f t="shared" si="12"/>
        <v>0</v>
      </c>
      <c r="N82" s="84">
        <f t="shared" si="12"/>
        <v>0</v>
      </c>
      <c r="O82" s="84">
        <f t="shared" si="12"/>
        <v>0</v>
      </c>
      <c r="P82" s="84">
        <f t="shared" si="12"/>
        <v>16</v>
      </c>
      <c r="Q82" s="84">
        <f t="shared" si="12"/>
        <v>7</v>
      </c>
      <c r="R82" s="84">
        <f t="shared" si="12"/>
        <v>0</v>
      </c>
      <c r="S82" s="84">
        <f t="shared" si="12"/>
        <v>0</v>
      </c>
      <c r="T82" s="84">
        <f t="shared" si="12"/>
        <v>236</v>
      </c>
      <c r="U82" s="84">
        <f t="shared" si="12"/>
        <v>0</v>
      </c>
      <c r="V82" s="84">
        <f t="shared" si="12"/>
        <v>0</v>
      </c>
      <c r="W82" s="84">
        <f t="shared" si="12"/>
        <v>0</v>
      </c>
      <c r="X82" s="84">
        <f t="shared" si="12"/>
        <v>0</v>
      </c>
      <c r="Y82" s="84">
        <f t="shared" si="12"/>
        <v>0</v>
      </c>
      <c r="Z82" s="84">
        <f t="shared" si="12"/>
        <v>0</v>
      </c>
      <c r="AA82" s="84">
        <f t="shared" si="12"/>
        <v>13</v>
      </c>
      <c r="AB82" s="88">
        <f t="shared" si="12"/>
        <v>0</v>
      </c>
      <c r="AC82" s="84">
        <f t="shared" si="12"/>
        <v>2.4</v>
      </c>
      <c r="AD82" s="91">
        <f t="shared" si="12"/>
        <v>0</v>
      </c>
      <c r="AE82" s="84">
        <f t="shared" si="12"/>
        <v>0</v>
      </c>
    </row>
    <row r="83" spans="1:31" ht="65.25" customHeight="1" thickBot="1">
      <c r="A83" s="155" t="s">
        <v>53</v>
      </c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7"/>
    </row>
    <row r="84" spans="1:31" ht="65.25" customHeight="1" thickBot="1">
      <c r="A84" s="83" t="s">
        <v>32</v>
      </c>
      <c r="B84" s="25" t="s">
        <v>182</v>
      </c>
      <c r="C84" s="84"/>
      <c r="D84" s="86"/>
      <c r="E84" s="86"/>
      <c r="F84" s="86"/>
      <c r="G84" s="86"/>
      <c r="H84" s="86"/>
      <c r="I84" s="86"/>
      <c r="J84" s="86"/>
      <c r="K84" s="86">
        <v>150</v>
      </c>
      <c r="L84" s="86"/>
      <c r="M84" s="86"/>
      <c r="N84" s="86"/>
      <c r="O84" s="87"/>
      <c r="P84" s="84"/>
      <c r="Q84" s="87"/>
      <c r="R84" s="84"/>
      <c r="S84" s="87"/>
      <c r="T84" s="84"/>
      <c r="U84" s="87"/>
      <c r="V84" s="84"/>
      <c r="W84" s="84"/>
      <c r="X84" s="87"/>
      <c r="Y84" s="84"/>
      <c r="Z84" s="84"/>
      <c r="AA84" s="87"/>
      <c r="AB84" s="84"/>
      <c r="AC84" s="87"/>
      <c r="AD84" s="88"/>
      <c r="AE84" s="83"/>
    </row>
    <row r="85" spans="1:31" ht="65.25" customHeight="1" thickBot="1">
      <c r="A85" s="83"/>
      <c r="B85" s="22" t="s">
        <v>29</v>
      </c>
      <c r="C85" s="86">
        <f>SUM(C84)</f>
        <v>0</v>
      </c>
      <c r="D85" s="86">
        <f>SUM(D84)</f>
        <v>0</v>
      </c>
      <c r="E85" s="86">
        <f aca="true" t="shared" si="13" ref="E85:AD85">SUM(E84)</f>
        <v>0</v>
      </c>
      <c r="F85" s="86">
        <f t="shared" si="13"/>
        <v>0</v>
      </c>
      <c r="G85" s="86">
        <f t="shared" si="13"/>
        <v>0</v>
      </c>
      <c r="H85" s="86">
        <f t="shared" si="13"/>
        <v>0</v>
      </c>
      <c r="I85" s="86">
        <f t="shared" si="13"/>
        <v>0</v>
      </c>
      <c r="J85" s="86">
        <f t="shared" si="13"/>
        <v>0</v>
      </c>
      <c r="K85" s="86">
        <f t="shared" si="13"/>
        <v>150</v>
      </c>
      <c r="L85" s="86">
        <f t="shared" si="13"/>
        <v>0</v>
      </c>
      <c r="M85" s="86">
        <f t="shared" si="13"/>
        <v>0</v>
      </c>
      <c r="N85" s="86">
        <f t="shared" si="13"/>
        <v>0</v>
      </c>
      <c r="O85" s="86">
        <f t="shared" si="13"/>
        <v>0</v>
      </c>
      <c r="P85" s="86">
        <f t="shared" si="13"/>
        <v>0</v>
      </c>
      <c r="Q85" s="86">
        <f t="shared" si="13"/>
        <v>0</v>
      </c>
      <c r="R85" s="86">
        <f t="shared" si="13"/>
        <v>0</v>
      </c>
      <c r="S85" s="86">
        <f t="shared" si="13"/>
        <v>0</v>
      </c>
      <c r="T85" s="86">
        <f t="shared" si="13"/>
        <v>0</v>
      </c>
      <c r="U85" s="86">
        <f t="shared" si="13"/>
        <v>0</v>
      </c>
      <c r="V85" s="86">
        <f t="shared" si="13"/>
        <v>0</v>
      </c>
      <c r="W85" s="86">
        <f t="shared" si="13"/>
        <v>0</v>
      </c>
      <c r="X85" s="86">
        <f t="shared" si="13"/>
        <v>0</v>
      </c>
      <c r="Y85" s="86">
        <f t="shared" si="13"/>
        <v>0</v>
      </c>
      <c r="Z85" s="86">
        <f t="shared" si="13"/>
        <v>0</v>
      </c>
      <c r="AA85" s="86">
        <f t="shared" si="13"/>
        <v>0</v>
      </c>
      <c r="AB85" s="86">
        <f t="shared" si="13"/>
        <v>0</v>
      </c>
      <c r="AC85" s="86">
        <f t="shared" si="13"/>
        <v>0</v>
      </c>
      <c r="AD85" s="87">
        <f t="shared" si="13"/>
        <v>0</v>
      </c>
      <c r="AE85" s="83">
        <f>SUM(AE84)</f>
        <v>0</v>
      </c>
    </row>
    <row r="86" spans="1:31" ht="65.25" customHeight="1" thickBot="1">
      <c r="A86" s="155" t="s">
        <v>31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  <c r="AE86" s="157"/>
    </row>
    <row r="87" spans="1:31" ht="65.25" customHeight="1" thickBot="1">
      <c r="A87" s="84">
        <v>88</v>
      </c>
      <c r="B87" s="129" t="s">
        <v>213</v>
      </c>
      <c r="C87" s="84"/>
      <c r="D87" s="86"/>
      <c r="E87" s="86"/>
      <c r="F87" s="86"/>
      <c r="G87" s="86"/>
      <c r="H87" s="86"/>
      <c r="I87" s="86"/>
      <c r="J87" s="86">
        <v>56</v>
      </c>
      <c r="K87" s="86"/>
      <c r="L87" s="86"/>
      <c r="M87" s="86"/>
      <c r="N87" s="86"/>
      <c r="O87" s="87"/>
      <c r="P87" s="83"/>
      <c r="Q87" s="87"/>
      <c r="R87" s="83">
        <v>5</v>
      </c>
      <c r="S87" s="87"/>
      <c r="T87" s="83"/>
      <c r="U87" s="87"/>
      <c r="V87" s="84"/>
      <c r="W87" s="83"/>
      <c r="X87" s="87"/>
      <c r="Y87" s="84"/>
      <c r="Z87" s="83"/>
      <c r="AA87" s="87"/>
      <c r="AB87" s="83"/>
      <c r="AC87" s="84"/>
      <c r="AD87" s="87"/>
      <c r="AE87" s="80"/>
    </row>
    <row r="88" spans="1:31" ht="194.25" customHeight="1" thickBot="1">
      <c r="A88" s="83">
        <v>52</v>
      </c>
      <c r="B88" s="22" t="s">
        <v>211</v>
      </c>
      <c r="C88" s="84"/>
      <c r="D88" s="86"/>
      <c r="E88" s="86"/>
      <c r="F88" s="86"/>
      <c r="G88" s="86"/>
      <c r="H88" s="86">
        <v>8</v>
      </c>
      <c r="I88" s="86">
        <v>59</v>
      </c>
      <c r="J88" s="86">
        <v>23</v>
      </c>
      <c r="K88" s="86"/>
      <c r="L88" s="86"/>
      <c r="M88" s="86"/>
      <c r="N88" s="86"/>
      <c r="O88" s="87"/>
      <c r="P88" s="83"/>
      <c r="Q88" s="87">
        <v>3</v>
      </c>
      <c r="R88" s="83"/>
      <c r="S88" s="87"/>
      <c r="T88" s="83"/>
      <c r="U88" s="87"/>
      <c r="V88" s="83"/>
      <c r="W88" s="83"/>
      <c r="X88" s="87">
        <v>25</v>
      </c>
      <c r="Y88" s="83"/>
      <c r="Z88" s="84"/>
      <c r="AA88" s="87"/>
      <c r="AB88" s="83"/>
      <c r="AC88" s="83"/>
      <c r="AD88" s="87"/>
      <c r="AE88" s="83"/>
    </row>
    <row r="89" spans="1:31" ht="194.25" customHeight="1" thickBot="1">
      <c r="A89" s="94">
        <v>64</v>
      </c>
      <c r="B89" s="75" t="s">
        <v>179</v>
      </c>
      <c r="C89" s="95"/>
      <c r="D89" s="96"/>
      <c r="E89" s="96">
        <v>4</v>
      </c>
      <c r="F89" s="96"/>
      <c r="G89" s="96">
        <v>5</v>
      </c>
      <c r="H89" s="96"/>
      <c r="I89" s="96"/>
      <c r="J89" s="96">
        <v>16</v>
      </c>
      <c r="K89" s="96"/>
      <c r="L89" s="96"/>
      <c r="M89" s="96"/>
      <c r="N89" s="96"/>
      <c r="O89" s="97"/>
      <c r="P89" s="94"/>
      <c r="Q89" s="97"/>
      <c r="R89" s="94">
        <v>5</v>
      </c>
      <c r="S89" s="97">
        <v>2.4</v>
      </c>
      <c r="T89" s="94"/>
      <c r="U89" s="97"/>
      <c r="V89" s="94"/>
      <c r="W89" s="94">
        <v>38</v>
      </c>
      <c r="X89" s="97"/>
      <c r="Y89" s="94"/>
      <c r="Z89" s="94"/>
      <c r="AA89" s="97"/>
      <c r="AB89" s="94"/>
      <c r="AC89" s="94"/>
      <c r="AD89" s="97"/>
      <c r="AE89" s="105"/>
    </row>
    <row r="90" spans="1:31" ht="194.25" customHeight="1" thickBot="1">
      <c r="A90" s="94">
        <v>7</v>
      </c>
      <c r="B90" s="75" t="s">
        <v>66</v>
      </c>
      <c r="C90" s="95"/>
      <c r="D90" s="96"/>
      <c r="E90" s="96">
        <v>2.8</v>
      </c>
      <c r="F90" s="96"/>
      <c r="G90" s="96"/>
      <c r="H90" s="96"/>
      <c r="I90" s="96"/>
      <c r="J90" s="96">
        <v>12</v>
      </c>
      <c r="K90" s="96"/>
      <c r="L90" s="96"/>
      <c r="M90" s="96"/>
      <c r="N90" s="96"/>
      <c r="O90" s="96"/>
      <c r="P90" s="97"/>
      <c r="Q90" s="95">
        <v>1.6</v>
      </c>
      <c r="R90" s="95"/>
      <c r="S90" s="96"/>
      <c r="T90" s="97"/>
      <c r="U90" s="95"/>
      <c r="V90" s="97"/>
      <c r="W90" s="95"/>
      <c r="X90" s="97"/>
      <c r="Y90" s="94"/>
      <c r="Z90" s="97"/>
      <c r="AA90" s="95"/>
      <c r="AB90" s="96"/>
      <c r="AC90" s="97"/>
      <c r="AD90" s="95"/>
      <c r="AE90" s="94"/>
    </row>
    <row r="91" spans="1:31" ht="194.25" customHeight="1" thickBot="1">
      <c r="A91" s="83">
        <v>63</v>
      </c>
      <c r="B91" s="22" t="s">
        <v>147</v>
      </c>
      <c r="C91" s="84"/>
      <c r="D91" s="86"/>
      <c r="E91" s="86"/>
      <c r="F91" s="86"/>
      <c r="G91" s="86"/>
      <c r="H91" s="86"/>
      <c r="I91" s="86"/>
      <c r="J91" s="86">
        <v>72</v>
      </c>
      <c r="K91" s="86"/>
      <c r="L91" s="86"/>
      <c r="M91" s="86"/>
      <c r="N91" s="86"/>
      <c r="O91" s="86"/>
      <c r="P91" s="86"/>
      <c r="Q91" s="86">
        <v>5</v>
      </c>
      <c r="R91" s="86"/>
      <c r="S91" s="86"/>
      <c r="T91" s="86"/>
      <c r="U91" s="86"/>
      <c r="V91" s="86"/>
      <c r="W91" s="86"/>
      <c r="X91" s="86"/>
      <c r="Y91" s="86"/>
      <c r="Z91" s="86"/>
      <c r="AA91" s="86"/>
      <c r="AB91" s="86"/>
      <c r="AC91" s="86"/>
      <c r="AD91" s="87"/>
      <c r="AE91" s="83"/>
    </row>
    <row r="92" spans="1:31" ht="65.25" thickBot="1">
      <c r="A92" s="84">
        <v>54</v>
      </c>
      <c r="B92" s="23" t="s">
        <v>153</v>
      </c>
      <c r="C92" s="84"/>
      <c r="D92" s="85"/>
      <c r="E92" s="85"/>
      <c r="F92" s="85"/>
      <c r="G92" s="85"/>
      <c r="H92" s="86"/>
      <c r="I92" s="86"/>
      <c r="J92" s="86"/>
      <c r="K92" s="86"/>
      <c r="L92" s="86"/>
      <c r="M92" s="86">
        <v>40</v>
      </c>
      <c r="N92" s="86"/>
      <c r="O92" s="87"/>
      <c r="P92" s="83">
        <v>13</v>
      </c>
      <c r="Q92" s="87"/>
      <c r="R92" s="84"/>
      <c r="S92" s="87"/>
      <c r="T92" s="84"/>
      <c r="U92" s="84"/>
      <c r="V92" s="87"/>
      <c r="W92" s="84"/>
      <c r="X92" s="87"/>
      <c r="Y92" s="84"/>
      <c r="Z92" s="84"/>
      <c r="AA92" s="87"/>
      <c r="AB92" s="84"/>
      <c r="AC92" s="84"/>
      <c r="AD92" s="87"/>
      <c r="AE92" s="84"/>
    </row>
    <row r="93" spans="1:31" ht="129.75" thickBot="1">
      <c r="A93" s="83" t="s">
        <v>32</v>
      </c>
      <c r="B93" s="22" t="s">
        <v>56</v>
      </c>
      <c r="C93" s="84">
        <v>25</v>
      </c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7"/>
      <c r="V93" s="83"/>
      <c r="W93" s="86"/>
      <c r="X93" s="87"/>
      <c r="Y93" s="83"/>
      <c r="Z93" s="86"/>
      <c r="AA93" s="86"/>
      <c r="AB93" s="86"/>
      <c r="AC93" s="86"/>
      <c r="AD93" s="87"/>
      <c r="AE93" s="83"/>
    </row>
    <row r="94" spans="1:31" ht="129.75" thickBot="1">
      <c r="A94" s="83" t="s">
        <v>32</v>
      </c>
      <c r="B94" s="22" t="s">
        <v>58</v>
      </c>
      <c r="C94" s="84"/>
      <c r="D94" s="86">
        <v>50</v>
      </c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3"/>
      <c r="P94" s="87"/>
      <c r="Q94" s="83"/>
      <c r="R94" s="87"/>
      <c r="S94" s="83"/>
      <c r="T94" s="87"/>
      <c r="U94" s="83"/>
      <c r="V94" s="87"/>
      <c r="W94" s="83"/>
      <c r="X94" s="83"/>
      <c r="Y94" s="83"/>
      <c r="Z94" s="87"/>
      <c r="AA94" s="83"/>
      <c r="AB94" s="83"/>
      <c r="AC94" s="87"/>
      <c r="AD94" s="90"/>
      <c r="AE94" s="83"/>
    </row>
    <row r="95" spans="1:31" ht="65.25" thickBot="1">
      <c r="A95" s="83"/>
      <c r="B95" s="22" t="s">
        <v>6</v>
      </c>
      <c r="C95" s="86">
        <f aca="true" t="shared" si="14" ref="C95:AE95">SUM(C87:C94)</f>
        <v>25</v>
      </c>
      <c r="D95" s="86">
        <f t="shared" si="14"/>
        <v>50</v>
      </c>
      <c r="E95" s="86">
        <f t="shared" si="14"/>
        <v>6.8</v>
      </c>
      <c r="F95" s="86">
        <f t="shared" si="14"/>
        <v>0</v>
      </c>
      <c r="G95" s="86">
        <f t="shared" si="14"/>
        <v>5</v>
      </c>
      <c r="H95" s="86">
        <f t="shared" si="14"/>
        <v>8</v>
      </c>
      <c r="I95" s="86">
        <f t="shared" si="14"/>
        <v>59</v>
      </c>
      <c r="J95" s="86">
        <f t="shared" si="14"/>
        <v>179</v>
      </c>
      <c r="K95" s="86">
        <f t="shared" si="14"/>
        <v>0</v>
      </c>
      <c r="L95" s="86">
        <f t="shared" si="14"/>
        <v>0</v>
      </c>
      <c r="M95" s="86">
        <f t="shared" si="14"/>
        <v>40</v>
      </c>
      <c r="N95" s="86">
        <f t="shared" si="14"/>
        <v>0</v>
      </c>
      <c r="O95" s="86">
        <f t="shared" si="14"/>
        <v>0</v>
      </c>
      <c r="P95" s="86">
        <f t="shared" si="14"/>
        <v>13</v>
      </c>
      <c r="Q95" s="86">
        <f t="shared" si="14"/>
        <v>9.6</v>
      </c>
      <c r="R95" s="86">
        <f t="shared" si="14"/>
        <v>10</v>
      </c>
      <c r="S95" s="86">
        <f t="shared" si="14"/>
        <v>2.4</v>
      </c>
      <c r="T95" s="86">
        <f t="shared" si="14"/>
        <v>0</v>
      </c>
      <c r="U95" s="86">
        <f t="shared" si="14"/>
        <v>0</v>
      </c>
      <c r="V95" s="86">
        <f t="shared" si="14"/>
        <v>0</v>
      </c>
      <c r="W95" s="86">
        <f t="shared" si="14"/>
        <v>38</v>
      </c>
      <c r="X95" s="86">
        <f t="shared" si="14"/>
        <v>25</v>
      </c>
      <c r="Y95" s="86">
        <f t="shared" si="14"/>
        <v>0</v>
      </c>
      <c r="Z95" s="86">
        <f t="shared" si="14"/>
        <v>0</v>
      </c>
      <c r="AA95" s="86">
        <f t="shared" si="14"/>
        <v>0</v>
      </c>
      <c r="AB95" s="86">
        <f t="shared" si="14"/>
        <v>0</v>
      </c>
      <c r="AC95" s="86">
        <f t="shared" si="14"/>
        <v>0</v>
      </c>
      <c r="AD95" s="87">
        <f t="shared" si="14"/>
        <v>0</v>
      </c>
      <c r="AE95" s="83">
        <f t="shared" si="14"/>
        <v>0</v>
      </c>
    </row>
    <row r="96" spans="1:31" ht="65.25" thickBot="1">
      <c r="A96" s="150" t="s">
        <v>145</v>
      </c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  <c r="W96" s="151"/>
      <c r="X96" s="151"/>
      <c r="Y96" s="151"/>
      <c r="Z96" s="151"/>
      <c r="AA96" s="151"/>
      <c r="AB96" s="151"/>
      <c r="AC96" s="151"/>
      <c r="AD96" s="151"/>
      <c r="AE96" s="152"/>
    </row>
    <row r="97" spans="1:31" ht="129.75" thickBot="1">
      <c r="A97" s="92">
        <v>21.1</v>
      </c>
      <c r="B97" s="27" t="s">
        <v>172</v>
      </c>
      <c r="C97" s="83"/>
      <c r="D97" s="86"/>
      <c r="E97" s="83"/>
      <c r="F97" s="83"/>
      <c r="G97" s="83"/>
      <c r="H97" s="86"/>
      <c r="I97" s="86"/>
      <c r="J97" s="86"/>
      <c r="K97" s="86"/>
      <c r="L97" s="86"/>
      <c r="M97" s="86"/>
      <c r="N97" s="86"/>
      <c r="O97" s="87"/>
      <c r="P97" s="84"/>
      <c r="Q97" s="87"/>
      <c r="R97" s="84"/>
      <c r="S97" s="87"/>
      <c r="T97" s="84">
        <v>185</v>
      </c>
      <c r="U97" s="87"/>
      <c r="V97" s="84"/>
      <c r="W97" s="84"/>
      <c r="X97" s="87"/>
      <c r="Y97" s="84"/>
      <c r="Z97" s="84"/>
      <c r="AA97" s="87"/>
      <c r="AB97" s="84"/>
      <c r="AC97" s="87"/>
      <c r="AD97" s="88"/>
      <c r="AE97" s="83"/>
    </row>
    <row r="98" spans="1:31" ht="129.75" thickBot="1">
      <c r="A98" s="83">
        <v>55</v>
      </c>
      <c r="B98" s="22" t="s">
        <v>248</v>
      </c>
      <c r="C98" s="84"/>
      <c r="D98" s="86"/>
      <c r="E98" s="86">
        <v>7</v>
      </c>
      <c r="F98" s="86"/>
      <c r="G98" s="86">
        <v>3</v>
      </c>
      <c r="H98" s="86"/>
      <c r="I98" s="86"/>
      <c r="J98" s="86"/>
      <c r="K98" s="86"/>
      <c r="L98" s="86"/>
      <c r="M98" s="86">
        <v>10</v>
      </c>
      <c r="N98" s="86"/>
      <c r="O98" s="86"/>
      <c r="P98" s="86">
        <v>5</v>
      </c>
      <c r="Q98" s="86">
        <v>2</v>
      </c>
      <c r="R98" s="86">
        <v>1</v>
      </c>
      <c r="S98" s="86">
        <v>2</v>
      </c>
      <c r="T98" s="86"/>
      <c r="U98" s="86">
        <v>45</v>
      </c>
      <c r="V98" s="86"/>
      <c r="W98" s="86"/>
      <c r="X98" s="86"/>
      <c r="Y98" s="86"/>
      <c r="Z98" s="86"/>
      <c r="AA98" s="86"/>
      <c r="AB98" s="87"/>
      <c r="AC98" s="83"/>
      <c r="AD98" s="87"/>
      <c r="AE98" s="84"/>
    </row>
    <row r="99" spans="1:31" ht="65.25" thickBot="1">
      <c r="A99" s="84"/>
      <c r="B99" s="22" t="s">
        <v>29</v>
      </c>
      <c r="C99" s="84">
        <f aca="true" t="shared" si="15" ref="C99:AE99">C97+C98</f>
        <v>0</v>
      </c>
      <c r="D99" s="84">
        <f t="shared" si="15"/>
        <v>0</v>
      </c>
      <c r="E99" s="84">
        <f t="shared" si="15"/>
        <v>7</v>
      </c>
      <c r="F99" s="84">
        <f t="shared" si="15"/>
        <v>0</v>
      </c>
      <c r="G99" s="84">
        <f t="shared" si="15"/>
        <v>3</v>
      </c>
      <c r="H99" s="84">
        <f t="shared" si="15"/>
        <v>0</v>
      </c>
      <c r="I99" s="84">
        <f t="shared" si="15"/>
        <v>0</v>
      </c>
      <c r="J99" s="84">
        <f t="shared" si="15"/>
        <v>0</v>
      </c>
      <c r="K99" s="84">
        <f t="shared" si="15"/>
        <v>0</v>
      </c>
      <c r="L99" s="84">
        <f t="shared" si="15"/>
        <v>0</v>
      </c>
      <c r="M99" s="84">
        <f t="shared" si="15"/>
        <v>10</v>
      </c>
      <c r="N99" s="84">
        <f t="shared" si="15"/>
        <v>0</v>
      </c>
      <c r="O99" s="84">
        <f t="shared" si="15"/>
        <v>0</v>
      </c>
      <c r="P99" s="84">
        <f t="shared" si="15"/>
        <v>5</v>
      </c>
      <c r="Q99" s="84">
        <f t="shared" si="15"/>
        <v>2</v>
      </c>
      <c r="R99" s="84">
        <f t="shared" si="15"/>
        <v>1</v>
      </c>
      <c r="S99" s="84">
        <f t="shared" si="15"/>
        <v>2</v>
      </c>
      <c r="T99" s="84">
        <f t="shared" si="15"/>
        <v>185</v>
      </c>
      <c r="U99" s="84">
        <f t="shared" si="15"/>
        <v>45</v>
      </c>
      <c r="V99" s="84">
        <f t="shared" si="15"/>
        <v>0</v>
      </c>
      <c r="W99" s="84">
        <f t="shared" si="15"/>
        <v>0</v>
      </c>
      <c r="X99" s="84">
        <f t="shared" si="15"/>
        <v>0</v>
      </c>
      <c r="Y99" s="84">
        <f t="shared" si="15"/>
        <v>0</v>
      </c>
      <c r="Z99" s="84">
        <f t="shared" si="15"/>
        <v>0</v>
      </c>
      <c r="AA99" s="84">
        <f t="shared" si="15"/>
        <v>0</v>
      </c>
      <c r="AB99" s="84">
        <f t="shared" si="15"/>
        <v>0</v>
      </c>
      <c r="AC99" s="84">
        <f t="shared" si="15"/>
        <v>0</v>
      </c>
      <c r="AD99" s="84">
        <f t="shared" si="15"/>
        <v>0</v>
      </c>
      <c r="AE99" s="84">
        <f t="shared" si="15"/>
        <v>0</v>
      </c>
    </row>
    <row r="100" spans="1:31" ht="65.25" thickBot="1">
      <c r="A100" s="155" t="s">
        <v>144</v>
      </c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7"/>
    </row>
    <row r="101" spans="1:31" ht="129.75" thickBot="1">
      <c r="A101" s="84">
        <v>71</v>
      </c>
      <c r="B101" s="25" t="s">
        <v>261</v>
      </c>
      <c r="C101" s="84"/>
      <c r="D101" s="85"/>
      <c r="E101" s="85">
        <v>2</v>
      </c>
      <c r="F101" s="85"/>
      <c r="G101" s="85"/>
      <c r="H101" s="86"/>
      <c r="I101" s="86"/>
      <c r="J101" s="86">
        <v>30</v>
      </c>
      <c r="K101" s="86"/>
      <c r="L101" s="86"/>
      <c r="M101" s="86"/>
      <c r="N101" s="86"/>
      <c r="O101" s="86"/>
      <c r="P101" s="86"/>
      <c r="Q101" s="86">
        <v>2</v>
      </c>
      <c r="R101" s="86"/>
      <c r="S101" s="86"/>
      <c r="T101" s="86">
        <v>25</v>
      </c>
      <c r="U101" s="87"/>
      <c r="V101" s="84"/>
      <c r="W101" s="87"/>
      <c r="X101" s="84"/>
      <c r="Y101" s="86">
        <v>97</v>
      </c>
      <c r="Z101" s="86"/>
      <c r="AA101" s="86"/>
      <c r="AB101" s="86"/>
      <c r="AC101" s="86"/>
      <c r="AD101" s="87"/>
      <c r="AE101" s="83"/>
    </row>
    <row r="102" spans="1:31" ht="65.25" thickBot="1">
      <c r="A102" s="84">
        <v>8</v>
      </c>
      <c r="B102" s="22" t="s">
        <v>37</v>
      </c>
      <c r="C102" s="84"/>
      <c r="D102" s="86"/>
      <c r="E102" s="86"/>
      <c r="F102" s="86"/>
      <c r="G102" s="86"/>
      <c r="H102" s="86"/>
      <c r="I102" s="86">
        <v>111</v>
      </c>
      <c r="J102" s="86"/>
      <c r="K102" s="86"/>
      <c r="L102" s="86"/>
      <c r="M102" s="86"/>
      <c r="N102" s="86"/>
      <c r="O102" s="87"/>
      <c r="P102" s="83"/>
      <c r="Q102" s="87">
        <v>5</v>
      </c>
      <c r="R102" s="83"/>
      <c r="S102" s="87"/>
      <c r="T102" s="83">
        <v>20</v>
      </c>
      <c r="U102" s="90"/>
      <c r="V102" s="83"/>
      <c r="W102" s="83"/>
      <c r="X102" s="87"/>
      <c r="Y102" s="83"/>
      <c r="Z102" s="83"/>
      <c r="AA102" s="87"/>
      <c r="AB102" s="83"/>
      <c r="AC102" s="87"/>
      <c r="AD102" s="90"/>
      <c r="AE102" s="83"/>
    </row>
    <row r="103" spans="1:31" ht="65.25" thickBot="1">
      <c r="A103" s="89">
        <v>31</v>
      </c>
      <c r="B103" s="23" t="s">
        <v>9</v>
      </c>
      <c r="C103" s="84"/>
      <c r="D103" s="86"/>
      <c r="E103" s="86"/>
      <c r="F103" s="86"/>
      <c r="G103" s="86"/>
      <c r="H103" s="86"/>
      <c r="I103" s="86"/>
      <c r="J103" s="86"/>
      <c r="K103" s="86"/>
      <c r="L103" s="86"/>
      <c r="M103" s="86">
        <v>5</v>
      </c>
      <c r="N103" s="86"/>
      <c r="O103" s="86"/>
      <c r="P103" s="84">
        <v>12</v>
      </c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4">
        <v>0.58</v>
      </c>
      <c r="AC103" s="86"/>
      <c r="AD103" s="87"/>
      <c r="AE103" s="83"/>
    </row>
    <row r="104" spans="1:31" ht="129.75" thickBot="1">
      <c r="A104" s="83">
        <v>69</v>
      </c>
      <c r="B104" s="22" t="s">
        <v>106</v>
      </c>
      <c r="C104" s="84"/>
      <c r="D104" s="86"/>
      <c r="E104" s="86"/>
      <c r="F104" s="86"/>
      <c r="G104" s="86"/>
      <c r="H104" s="86"/>
      <c r="I104" s="86"/>
      <c r="J104" s="86"/>
      <c r="K104" s="86"/>
      <c r="L104" s="86"/>
      <c r="M104" s="86">
        <v>85</v>
      </c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7"/>
      <c r="AE104" s="84"/>
    </row>
    <row r="105" spans="1:31" ht="129.75" thickBot="1">
      <c r="A105" s="83" t="s">
        <v>32</v>
      </c>
      <c r="B105" s="22" t="s">
        <v>56</v>
      </c>
      <c r="C105" s="84">
        <v>25</v>
      </c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7"/>
      <c r="AE105" s="83"/>
    </row>
    <row r="106" spans="1:31" ht="65.25" thickBot="1">
      <c r="A106" s="83"/>
      <c r="B106" s="22" t="s">
        <v>6</v>
      </c>
      <c r="C106" s="84">
        <f>C101+C102+C103+C104+C105</f>
        <v>25</v>
      </c>
      <c r="D106" s="84">
        <f aca="true" t="shared" si="16" ref="D106:AE106">D101+D102+D103+D104+D105</f>
        <v>0</v>
      </c>
      <c r="E106" s="84">
        <f t="shared" si="16"/>
        <v>2</v>
      </c>
      <c r="F106" s="84">
        <f t="shared" si="16"/>
        <v>0</v>
      </c>
      <c r="G106" s="84">
        <f t="shared" si="16"/>
        <v>0</v>
      </c>
      <c r="H106" s="84">
        <f t="shared" si="16"/>
        <v>0</v>
      </c>
      <c r="I106" s="84">
        <f t="shared" si="16"/>
        <v>111</v>
      </c>
      <c r="J106" s="84">
        <f t="shared" si="16"/>
        <v>30</v>
      </c>
      <c r="K106" s="84">
        <f t="shared" si="16"/>
        <v>0</v>
      </c>
      <c r="L106" s="84">
        <f t="shared" si="16"/>
        <v>0</v>
      </c>
      <c r="M106" s="84">
        <f t="shared" si="16"/>
        <v>90</v>
      </c>
      <c r="N106" s="84">
        <f t="shared" si="16"/>
        <v>0</v>
      </c>
      <c r="O106" s="84">
        <f t="shared" si="16"/>
        <v>0</v>
      </c>
      <c r="P106" s="84">
        <f t="shared" si="16"/>
        <v>12</v>
      </c>
      <c r="Q106" s="84">
        <f t="shared" si="16"/>
        <v>7</v>
      </c>
      <c r="R106" s="84">
        <f t="shared" si="16"/>
        <v>0</v>
      </c>
      <c r="S106" s="84">
        <f t="shared" si="16"/>
        <v>0</v>
      </c>
      <c r="T106" s="84">
        <f t="shared" si="16"/>
        <v>45</v>
      </c>
      <c r="U106" s="84">
        <f t="shared" si="16"/>
        <v>0</v>
      </c>
      <c r="V106" s="84">
        <f t="shared" si="16"/>
        <v>0</v>
      </c>
      <c r="W106" s="84">
        <f t="shared" si="16"/>
        <v>0</v>
      </c>
      <c r="X106" s="84">
        <f t="shared" si="16"/>
        <v>0</v>
      </c>
      <c r="Y106" s="84">
        <f t="shared" si="16"/>
        <v>97</v>
      </c>
      <c r="Z106" s="84">
        <f t="shared" si="16"/>
        <v>0</v>
      </c>
      <c r="AA106" s="84">
        <f t="shared" si="16"/>
        <v>0</v>
      </c>
      <c r="AB106" s="84">
        <f t="shared" si="16"/>
        <v>0.58</v>
      </c>
      <c r="AC106" s="84">
        <f t="shared" si="16"/>
        <v>0</v>
      </c>
      <c r="AD106" s="84">
        <f t="shared" si="16"/>
        <v>0</v>
      </c>
      <c r="AE106" s="84">
        <f t="shared" si="16"/>
        <v>0</v>
      </c>
    </row>
    <row r="107" spans="1:31" ht="194.25" thickBot="1">
      <c r="A107" s="145"/>
      <c r="B107" s="22" t="s">
        <v>150</v>
      </c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8"/>
      <c r="AE107" s="84"/>
    </row>
    <row r="108" spans="1:31" ht="65.25" thickBot="1">
      <c r="A108" s="83"/>
      <c r="B108" s="93" t="s">
        <v>10</v>
      </c>
      <c r="C108" s="84">
        <f aca="true" t="shared" si="17" ref="C108:AE108">C82+C85+C95+C99+C106</f>
        <v>75</v>
      </c>
      <c r="D108" s="84">
        <f t="shared" si="17"/>
        <v>50</v>
      </c>
      <c r="E108" s="84">
        <f t="shared" si="17"/>
        <v>15.8</v>
      </c>
      <c r="F108" s="84">
        <f t="shared" si="17"/>
        <v>0</v>
      </c>
      <c r="G108" s="84">
        <f t="shared" si="17"/>
        <v>26</v>
      </c>
      <c r="H108" s="84">
        <f t="shared" si="17"/>
        <v>8</v>
      </c>
      <c r="I108" s="84">
        <f t="shared" si="17"/>
        <v>170</v>
      </c>
      <c r="J108" s="84">
        <f t="shared" si="17"/>
        <v>209</v>
      </c>
      <c r="K108" s="84">
        <f t="shared" si="17"/>
        <v>150</v>
      </c>
      <c r="L108" s="84">
        <f t="shared" si="17"/>
        <v>0</v>
      </c>
      <c r="M108" s="84">
        <f t="shared" si="17"/>
        <v>140</v>
      </c>
      <c r="N108" s="84">
        <f t="shared" si="17"/>
        <v>0</v>
      </c>
      <c r="O108" s="84">
        <f t="shared" si="17"/>
        <v>0</v>
      </c>
      <c r="P108" s="84">
        <f t="shared" si="17"/>
        <v>46</v>
      </c>
      <c r="Q108" s="84">
        <f t="shared" si="17"/>
        <v>25.6</v>
      </c>
      <c r="R108" s="84">
        <f t="shared" si="17"/>
        <v>11</v>
      </c>
      <c r="S108" s="84">
        <f t="shared" si="17"/>
        <v>4.4</v>
      </c>
      <c r="T108" s="84">
        <f t="shared" si="17"/>
        <v>466</v>
      </c>
      <c r="U108" s="84">
        <f t="shared" si="17"/>
        <v>45</v>
      </c>
      <c r="V108" s="84">
        <f t="shared" si="17"/>
        <v>0</v>
      </c>
      <c r="W108" s="84">
        <f t="shared" si="17"/>
        <v>38</v>
      </c>
      <c r="X108" s="84">
        <f t="shared" si="17"/>
        <v>25</v>
      </c>
      <c r="Y108" s="84">
        <f t="shared" si="17"/>
        <v>97</v>
      </c>
      <c r="Z108" s="84">
        <f t="shared" si="17"/>
        <v>0</v>
      </c>
      <c r="AA108" s="84">
        <f t="shared" si="17"/>
        <v>13</v>
      </c>
      <c r="AB108" s="84">
        <f t="shared" si="17"/>
        <v>0.58</v>
      </c>
      <c r="AC108" s="84">
        <f t="shared" si="17"/>
        <v>2.4</v>
      </c>
      <c r="AD108" s="84">
        <f t="shared" si="17"/>
        <v>0</v>
      </c>
      <c r="AE108" s="84">
        <f t="shared" si="17"/>
        <v>0</v>
      </c>
    </row>
    <row r="109" spans="1:31" ht="65.25" thickBot="1">
      <c r="A109" s="150" t="s">
        <v>40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  <c r="W109" s="151"/>
      <c r="X109" s="151"/>
      <c r="Y109" s="151"/>
      <c r="Z109" s="151"/>
      <c r="AA109" s="151"/>
      <c r="AB109" s="151"/>
      <c r="AC109" s="151"/>
      <c r="AD109" s="151"/>
      <c r="AE109" s="152"/>
    </row>
    <row r="110" spans="1:31" ht="65.25" thickBot="1">
      <c r="A110" s="150" t="s">
        <v>15</v>
      </c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  <c r="W110" s="151"/>
      <c r="X110" s="151"/>
      <c r="Y110" s="151"/>
      <c r="Z110" s="151"/>
      <c r="AA110" s="151"/>
      <c r="AB110" s="151"/>
      <c r="AC110" s="151"/>
      <c r="AD110" s="151"/>
      <c r="AE110" s="152"/>
    </row>
    <row r="111" spans="1:31" ht="45.75" customHeight="1">
      <c r="A111" s="166" t="s">
        <v>30</v>
      </c>
      <c r="B111" s="168" t="s">
        <v>23</v>
      </c>
      <c r="C111" s="153" t="s">
        <v>116</v>
      </c>
      <c r="D111" s="153" t="s">
        <v>117</v>
      </c>
      <c r="E111" s="153" t="s">
        <v>130</v>
      </c>
      <c r="F111" s="153" t="s">
        <v>119</v>
      </c>
      <c r="G111" s="153" t="s">
        <v>131</v>
      </c>
      <c r="H111" s="153" t="s">
        <v>132</v>
      </c>
      <c r="I111" s="153" t="s">
        <v>110</v>
      </c>
      <c r="J111" s="153" t="s">
        <v>257</v>
      </c>
      <c r="K111" s="140"/>
      <c r="L111" s="140"/>
      <c r="M111" s="153" t="s">
        <v>142</v>
      </c>
      <c r="N111" s="153" t="s">
        <v>79</v>
      </c>
      <c r="O111" s="153" t="s">
        <v>139</v>
      </c>
      <c r="P111" s="153" t="s">
        <v>80</v>
      </c>
      <c r="Q111" s="153" t="s">
        <v>124</v>
      </c>
      <c r="R111" s="153" t="s">
        <v>81</v>
      </c>
      <c r="S111" s="153" t="s">
        <v>134</v>
      </c>
      <c r="T111" s="153" t="s">
        <v>135</v>
      </c>
      <c r="U111" s="153" t="s">
        <v>136</v>
      </c>
      <c r="V111" s="140"/>
      <c r="W111" s="153" t="s">
        <v>113</v>
      </c>
      <c r="X111" s="153" t="s">
        <v>129</v>
      </c>
      <c r="Y111" s="153" t="s">
        <v>84</v>
      </c>
      <c r="Z111" s="153" t="s">
        <v>82</v>
      </c>
      <c r="AA111" s="153" t="s">
        <v>83</v>
      </c>
      <c r="AB111" s="153" t="s">
        <v>85</v>
      </c>
      <c r="AC111" s="140"/>
      <c r="AD111" s="158" t="s">
        <v>78</v>
      </c>
      <c r="AE111" s="153" t="s">
        <v>137</v>
      </c>
    </row>
    <row r="112" spans="1:31" ht="409.5" customHeight="1" thickBot="1">
      <c r="A112" s="167"/>
      <c r="B112" s="169"/>
      <c r="C112" s="154"/>
      <c r="D112" s="154"/>
      <c r="E112" s="154"/>
      <c r="F112" s="154"/>
      <c r="G112" s="154"/>
      <c r="H112" s="154"/>
      <c r="I112" s="154"/>
      <c r="J112" s="154"/>
      <c r="K112" s="141" t="s">
        <v>133</v>
      </c>
      <c r="L112" s="141" t="s">
        <v>143</v>
      </c>
      <c r="M112" s="154"/>
      <c r="N112" s="154"/>
      <c r="O112" s="154"/>
      <c r="P112" s="154"/>
      <c r="Q112" s="154"/>
      <c r="R112" s="154"/>
      <c r="S112" s="154"/>
      <c r="T112" s="154"/>
      <c r="U112" s="154"/>
      <c r="V112" s="141" t="s">
        <v>140</v>
      </c>
      <c r="W112" s="154"/>
      <c r="X112" s="154"/>
      <c r="Y112" s="154"/>
      <c r="Z112" s="154"/>
      <c r="AA112" s="154"/>
      <c r="AB112" s="154"/>
      <c r="AC112" s="141" t="s">
        <v>77</v>
      </c>
      <c r="AD112" s="159"/>
      <c r="AE112" s="154"/>
    </row>
    <row r="113" spans="1:31" ht="65.25" thickBot="1">
      <c r="A113" s="145">
        <v>1</v>
      </c>
      <c r="B113" s="79">
        <v>2</v>
      </c>
      <c r="C113" s="80" t="s">
        <v>54</v>
      </c>
      <c r="D113" s="81">
        <v>4</v>
      </c>
      <c r="E113" s="80">
        <v>5</v>
      </c>
      <c r="F113" s="80">
        <v>6</v>
      </c>
      <c r="G113" s="80">
        <v>7</v>
      </c>
      <c r="H113" s="80">
        <v>8</v>
      </c>
      <c r="I113" s="80" t="s">
        <v>55</v>
      </c>
      <c r="J113" s="81">
        <v>10</v>
      </c>
      <c r="K113" s="80">
        <v>11</v>
      </c>
      <c r="L113" s="108">
        <v>12</v>
      </c>
      <c r="M113" s="80">
        <v>13</v>
      </c>
      <c r="N113" s="80">
        <v>14</v>
      </c>
      <c r="O113" s="80">
        <v>15</v>
      </c>
      <c r="P113" s="80">
        <v>16</v>
      </c>
      <c r="Q113" s="143">
        <v>17</v>
      </c>
      <c r="R113" s="80">
        <v>18</v>
      </c>
      <c r="S113" s="143">
        <v>19</v>
      </c>
      <c r="T113" s="80">
        <v>20</v>
      </c>
      <c r="U113" s="143">
        <v>21</v>
      </c>
      <c r="V113" s="143">
        <v>22</v>
      </c>
      <c r="W113" s="80">
        <v>23</v>
      </c>
      <c r="X113" s="80">
        <v>24</v>
      </c>
      <c r="Y113" s="143">
        <v>25</v>
      </c>
      <c r="Z113" s="80">
        <v>26</v>
      </c>
      <c r="AA113" s="80">
        <v>27</v>
      </c>
      <c r="AB113" s="80">
        <v>28</v>
      </c>
      <c r="AC113" s="143">
        <v>29</v>
      </c>
      <c r="AD113" s="142">
        <v>30</v>
      </c>
      <c r="AE113" s="80">
        <v>32</v>
      </c>
    </row>
    <row r="114" spans="1:31" ht="65.25" thickBot="1">
      <c r="A114" s="150" t="s">
        <v>5</v>
      </c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  <c r="W114" s="151"/>
      <c r="X114" s="151"/>
      <c r="Y114" s="151"/>
      <c r="Z114" s="151"/>
      <c r="AA114" s="151"/>
      <c r="AB114" s="151"/>
      <c r="AC114" s="151"/>
      <c r="AD114" s="151"/>
      <c r="AE114" s="152"/>
    </row>
    <row r="115" spans="1:31" ht="129.75" thickBot="1">
      <c r="A115" s="94">
        <v>39</v>
      </c>
      <c r="B115" s="75" t="s">
        <v>20</v>
      </c>
      <c r="C115" s="95"/>
      <c r="D115" s="96"/>
      <c r="E115" s="96"/>
      <c r="F115" s="96"/>
      <c r="G115" s="96"/>
      <c r="H115" s="96">
        <v>15</v>
      </c>
      <c r="I115" s="96"/>
      <c r="J115" s="96"/>
      <c r="K115" s="96"/>
      <c r="L115" s="96"/>
      <c r="M115" s="96"/>
      <c r="N115" s="96"/>
      <c r="O115" s="94"/>
      <c r="P115" s="97">
        <v>5</v>
      </c>
      <c r="Q115" s="94">
        <v>0.9</v>
      </c>
      <c r="R115" s="97"/>
      <c r="S115" s="94"/>
      <c r="T115" s="97">
        <v>139</v>
      </c>
      <c r="U115" s="94"/>
      <c r="V115" s="97"/>
      <c r="W115" s="95"/>
      <c r="X115" s="97"/>
      <c r="Y115" s="94"/>
      <c r="Z115" s="97"/>
      <c r="AA115" s="94"/>
      <c r="AB115" s="97"/>
      <c r="AC115" s="95"/>
      <c r="AD115" s="98"/>
      <c r="AE115" s="94"/>
    </row>
    <row r="116" spans="1:31" ht="129.75" thickBot="1">
      <c r="A116" s="83">
        <v>2</v>
      </c>
      <c r="B116" s="22" t="s">
        <v>69</v>
      </c>
      <c r="C116" s="84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3"/>
      <c r="P116" s="84">
        <v>11</v>
      </c>
      <c r="Q116" s="83"/>
      <c r="R116" s="87"/>
      <c r="S116" s="83"/>
      <c r="T116" s="84">
        <v>100</v>
      </c>
      <c r="U116" s="83"/>
      <c r="V116" s="87"/>
      <c r="W116" s="83"/>
      <c r="X116" s="87"/>
      <c r="Y116" s="83"/>
      <c r="Z116" s="87"/>
      <c r="AA116" s="83"/>
      <c r="AB116" s="87"/>
      <c r="AC116" s="83">
        <v>2.4</v>
      </c>
      <c r="AD116" s="90"/>
      <c r="AE116" s="84"/>
    </row>
    <row r="117" spans="1:31" ht="65.25" thickBot="1">
      <c r="A117" s="83">
        <v>16</v>
      </c>
      <c r="B117" s="22" t="s">
        <v>36</v>
      </c>
      <c r="C117" s="86">
        <v>25</v>
      </c>
      <c r="D117" s="85"/>
      <c r="E117" s="85"/>
      <c r="F117" s="85"/>
      <c r="G117" s="85"/>
      <c r="H117" s="86"/>
      <c r="I117" s="86"/>
      <c r="J117" s="86"/>
      <c r="K117" s="86"/>
      <c r="L117" s="86"/>
      <c r="M117" s="86"/>
      <c r="N117" s="86"/>
      <c r="O117" s="87"/>
      <c r="P117" s="84"/>
      <c r="Q117" s="84">
        <v>5</v>
      </c>
      <c r="R117" s="84"/>
      <c r="S117" s="87"/>
      <c r="T117" s="84"/>
      <c r="U117" s="87"/>
      <c r="V117" s="83"/>
      <c r="W117" s="84"/>
      <c r="X117" s="83"/>
      <c r="Y117" s="87"/>
      <c r="Z117" s="84"/>
      <c r="AA117" s="84"/>
      <c r="AB117" s="87"/>
      <c r="AC117" s="83"/>
      <c r="AD117" s="88"/>
      <c r="AE117" s="84"/>
    </row>
    <row r="118" spans="1:31" ht="65.25" thickBot="1">
      <c r="A118" s="83"/>
      <c r="B118" s="22" t="s">
        <v>6</v>
      </c>
      <c r="C118" s="84">
        <f>SUM(C115+C116+C117)</f>
        <v>25</v>
      </c>
      <c r="D118" s="84">
        <f aca="true" t="shared" si="18" ref="D118:AE118">SUM(D115+D116+D117)</f>
        <v>0</v>
      </c>
      <c r="E118" s="84">
        <f t="shared" si="18"/>
        <v>0</v>
      </c>
      <c r="F118" s="84">
        <f t="shared" si="18"/>
        <v>0</v>
      </c>
      <c r="G118" s="84">
        <f t="shared" si="18"/>
        <v>0</v>
      </c>
      <c r="H118" s="84">
        <f t="shared" si="18"/>
        <v>15</v>
      </c>
      <c r="I118" s="84">
        <f t="shared" si="18"/>
        <v>0</v>
      </c>
      <c r="J118" s="84">
        <f t="shared" si="18"/>
        <v>0</v>
      </c>
      <c r="K118" s="84">
        <f t="shared" si="18"/>
        <v>0</v>
      </c>
      <c r="L118" s="84">
        <f t="shared" si="18"/>
        <v>0</v>
      </c>
      <c r="M118" s="84">
        <f t="shared" si="18"/>
        <v>0</v>
      </c>
      <c r="N118" s="84">
        <f t="shared" si="18"/>
        <v>0</v>
      </c>
      <c r="O118" s="84">
        <f t="shared" si="18"/>
        <v>0</v>
      </c>
      <c r="P118" s="84">
        <f t="shared" si="18"/>
        <v>16</v>
      </c>
      <c r="Q118" s="84">
        <f t="shared" si="18"/>
        <v>5.9</v>
      </c>
      <c r="R118" s="84">
        <f t="shared" si="18"/>
        <v>0</v>
      </c>
      <c r="S118" s="84">
        <f t="shared" si="18"/>
        <v>0</v>
      </c>
      <c r="T118" s="84">
        <f t="shared" si="18"/>
        <v>239</v>
      </c>
      <c r="U118" s="84">
        <f t="shared" si="18"/>
        <v>0</v>
      </c>
      <c r="V118" s="84">
        <f t="shared" si="18"/>
        <v>0</v>
      </c>
      <c r="W118" s="84">
        <f t="shared" si="18"/>
        <v>0</v>
      </c>
      <c r="X118" s="84">
        <f t="shared" si="18"/>
        <v>0</v>
      </c>
      <c r="Y118" s="84">
        <f t="shared" si="18"/>
        <v>0</v>
      </c>
      <c r="Z118" s="84">
        <f t="shared" si="18"/>
        <v>0</v>
      </c>
      <c r="AA118" s="84">
        <f t="shared" si="18"/>
        <v>0</v>
      </c>
      <c r="AB118" s="84">
        <f t="shared" si="18"/>
        <v>0</v>
      </c>
      <c r="AC118" s="84">
        <f t="shared" si="18"/>
        <v>2.4</v>
      </c>
      <c r="AD118" s="88">
        <f t="shared" si="18"/>
        <v>0</v>
      </c>
      <c r="AE118" s="84">
        <f t="shared" si="18"/>
        <v>0</v>
      </c>
    </row>
    <row r="119" spans="1:31" ht="65.25" thickBot="1">
      <c r="A119" s="155" t="s">
        <v>53</v>
      </c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7"/>
    </row>
    <row r="120" spans="1:31" ht="65.25" thickBot="1">
      <c r="A120" s="83" t="s">
        <v>32</v>
      </c>
      <c r="B120" s="25" t="s">
        <v>182</v>
      </c>
      <c r="C120" s="84"/>
      <c r="D120" s="86"/>
      <c r="E120" s="86"/>
      <c r="F120" s="86"/>
      <c r="G120" s="86"/>
      <c r="H120" s="86"/>
      <c r="I120" s="86"/>
      <c r="J120" s="86"/>
      <c r="K120" s="86">
        <v>150</v>
      </c>
      <c r="L120" s="86"/>
      <c r="M120" s="86"/>
      <c r="N120" s="86"/>
      <c r="O120" s="87"/>
      <c r="P120" s="84"/>
      <c r="Q120" s="87"/>
      <c r="R120" s="84"/>
      <c r="S120" s="87"/>
      <c r="T120" s="84"/>
      <c r="U120" s="87"/>
      <c r="V120" s="84"/>
      <c r="W120" s="84"/>
      <c r="X120" s="87"/>
      <c r="Y120" s="84"/>
      <c r="Z120" s="84"/>
      <c r="AA120" s="87"/>
      <c r="AB120" s="84"/>
      <c r="AC120" s="87"/>
      <c r="AD120" s="88"/>
      <c r="AE120" s="83"/>
    </row>
    <row r="121" spans="1:31" ht="65.25" thickBot="1">
      <c r="A121" s="83"/>
      <c r="B121" s="22" t="s">
        <v>29</v>
      </c>
      <c r="C121" s="86">
        <f>SUM(C120)</f>
        <v>0</v>
      </c>
      <c r="D121" s="86">
        <f>SUM(D120)</f>
        <v>0</v>
      </c>
      <c r="E121" s="86">
        <f aca="true" t="shared" si="19" ref="E121:AD121">SUM(E120)</f>
        <v>0</v>
      </c>
      <c r="F121" s="86">
        <f t="shared" si="19"/>
        <v>0</v>
      </c>
      <c r="G121" s="86">
        <f t="shared" si="19"/>
        <v>0</v>
      </c>
      <c r="H121" s="86">
        <f t="shared" si="19"/>
        <v>0</v>
      </c>
      <c r="I121" s="86">
        <f t="shared" si="19"/>
        <v>0</v>
      </c>
      <c r="J121" s="86">
        <f t="shared" si="19"/>
        <v>0</v>
      </c>
      <c r="K121" s="86">
        <f t="shared" si="19"/>
        <v>150</v>
      </c>
      <c r="L121" s="86">
        <f t="shared" si="19"/>
        <v>0</v>
      </c>
      <c r="M121" s="86">
        <f t="shared" si="19"/>
        <v>0</v>
      </c>
      <c r="N121" s="86">
        <f t="shared" si="19"/>
        <v>0</v>
      </c>
      <c r="O121" s="86">
        <f t="shared" si="19"/>
        <v>0</v>
      </c>
      <c r="P121" s="86">
        <f t="shared" si="19"/>
        <v>0</v>
      </c>
      <c r="Q121" s="86">
        <f t="shared" si="19"/>
        <v>0</v>
      </c>
      <c r="R121" s="86">
        <f t="shared" si="19"/>
        <v>0</v>
      </c>
      <c r="S121" s="86">
        <f t="shared" si="19"/>
        <v>0</v>
      </c>
      <c r="T121" s="86">
        <f t="shared" si="19"/>
        <v>0</v>
      </c>
      <c r="U121" s="86">
        <f t="shared" si="19"/>
        <v>0</v>
      </c>
      <c r="V121" s="86">
        <f t="shared" si="19"/>
        <v>0</v>
      </c>
      <c r="W121" s="86">
        <f t="shared" si="19"/>
        <v>0</v>
      </c>
      <c r="X121" s="86">
        <f t="shared" si="19"/>
        <v>0</v>
      </c>
      <c r="Y121" s="86">
        <f t="shared" si="19"/>
        <v>0</v>
      </c>
      <c r="Z121" s="86">
        <f t="shared" si="19"/>
        <v>0</v>
      </c>
      <c r="AA121" s="86">
        <f t="shared" si="19"/>
        <v>0</v>
      </c>
      <c r="AB121" s="86">
        <f t="shared" si="19"/>
        <v>0</v>
      </c>
      <c r="AC121" s="86">
        <f t="shared" si="19"/>
        <v>0</v>
      </c>
      <c r="AD121" s="87">
        <f t="shared" si="19"/>
        <v>0</v>
      </c>
      <c r="AE121" s="83">
        <f>SUM(AE120)</f>
        <v>0</v>
      </c>
    </row>
    <row r="122" spans="1:31" ht="65.25" thickBot="1">
      <c r="A122" s="155" t="s">
        <v>31</v>
      </c>
      <c r="B122" s="156"/>
      <c r="C122" s="156"/>
      <c r="D122" s="156"/>
      <c r="E122" s="156"/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7"/>
    </row>
    <row r="123" spans="1:31" ht="65.25" thickBot="1">
      <c r="A123" s="84">
        <v>56</v>
      </c>
      <c r="B123" s="22" t="s">
        <v>228</v>
      </c>
      <c r="C123" s="84"/>
      <c r="D123" s="86"/>
      <c r="E123" s="86"/>
      <c r="F123" s="86"/>
      <c r="G123" s="86"/>
      <c r="H123" s="86"/>
      <c r="I123" s="86"/>
      <c r="J123" s="86">
        <v>56.5</v>
      </c>
      <c r="K123" s="86"/>
      <c r="L123" s="86"/>
      <c r="M123" s="86"/>
      <c r="N123" s="86"/>
      <c r="O123" s="87"/>
      <c r="P123" s="83"/>
      <c r="Q123" s="87"/>
      <c r="R123" s="83">
        <v>5</v>
      </c>
      <c r="S123" s="87"/>
      <c r="T123" s="83"/>
      <c r="U123" s="87"/>
      <c r="V123" s="84"/>
      <c r="W123" s="83"/>
      <c r="X123" s="87"/>
      <c r="Y123" s="84"/>
      <c r="Z123" s="83"/>
      <c r="AA123" s="87"/>
      <c r="AB123" s="83"/>
      <c r="AC123" s="84"/>
      <c r="AD123" s="87"/>
      <c r="AE123" s="80"/>
    </row>
    <row r="124" spans="1:31" ht="65.25" thickBot="1">
      <c r="A124" s="83">
        <v>92</v>
      </c>
      <c r="B124" s="22" t="s">
        <v>238</v>
      </c>
      <c r="C124" s="84"/>
      <c r="D124" s="85"/>
      <c r="E124" s="85"/>
      <c r="F124" s="85"/>
      <c r="G124" s="85"/>
      <c r="H124" s="86"/>
      <c r="I124" s="86">
        <v>100</v>
      </c>
      <c r="J124" s="86">
        <v>22</v>
      </c>
      <c r="K124" s="86"/>
      <c r="L124" s="86"/>
      <c r="M124" s="86"/>
      <c r="N124" s="86"/>
      <c r="O124" s="87"/>
      <c r="P124" s="84"/>
      <c r="Q124" s="87">
        <v>3</v>
      </c>
      <c r="R124" s="84"/>
      <c r="S124" s="87">
        <v>20</v>
      </c>
      <c r="T124" s="84"/>
      <c r="U124" s="87"/>
      <c r="V124" s="83"/>
      <c r="W124" s="83"/>
      <c r="X124" s="87">
        <v>25</v>
      </c>
      <c r="Y124" s="83"/>
      <c r="Z124" s="84"/>
      <c r="AA124" s="84"/>
      <c r="AB124" s="87"/>
      <c r="AC124" s="83"/>
      <c r="AD124" s="88"/>
      <c r="AE124" s="84"/>
    </row>
    <row r="125" spans="1:31" ht="65.25" thickBot="1">
      <c r="A125" s="84">
        <v>91</v>
      </c>
      <c r="B125" s="22" t="s">
        <v>170</v>
      </c>
      <c r="C125" s="84"/>
      <c r="D125" s="86"/>
      <c r="E125" s="86"/>
      <c r="F125" s="86"/>
      <c r="G125" s="86"/>
      <c r="H125" s="86"/>
      <c r="I125" s="86">
        <v>102</v>
      </c>
      <c r="J125" s="86">
        <v>33</v>
      </c>
      <c r="K125" s="86"/>
      <c r="L125" s="86"/>
      <c r="M125" s="86"/>
      <c r="N125" s="86"/>
      <c r="O125" s="87"/>
      <c r="P125" s="83"/>
      <c r="Q125" s="87"/>
      <c r="R125" s="83">
        <v>5</v>
      </c>
      <c r="S125" s="87"/>
      <c r="T125" s="83"/>
      <c r="U125" s="90"/>
      <c r="V125" s="83"/>
      <c r="W125" s="83"/>
      <c r="X125" s="87"/>
      <c r="Y125" s="83"/>
      <c r="Z125" s="83"/>
      <c r="AA125" s="87"/>
      <c r="AB125" s="83"/>
      <c r="AC125" s="87"/>
      <c r="AD125" s="90"/>
      <c r="AE125" s="83"/>
    </row>
    <row r="126" spans="1:31" ht="129.75" thickBot="1">
      <c r="A126" s="84">
        <v>29</v>
      </c>
      <c r="B126" s="22" t="s">
        <v>163</v>
      </c>
      <c r="C126" s="86">
        <v>24</v>
      </c>
      <c r="D126" s="86"/>
      <c r="E126" s="86"/>
      <c r="F126" s="86"/>
      <c r="G126" s="86"/>
      <c r="H126" s="86"/>
      <c r="I126" s="86"/>
      <c r="J126" s="86">
        <v>9</v>
      </c>
      <c r="K126" s="86"/>
      <c r="L126" s="86"/>
      <c r="M126" s="86"/>
      <c r="N126" s="86"/>
      <c r="O126" s="86"/>
      <c r="P126" s="86"/>
      <c r="Q126" s="86"/>
      <c r="R126" s="86">
        <v>6</v>
      </c>
      <c r="S126" s="86">
        <v>11</v>
      </c>
      <c r="T126" s="86">
        <v>14</v>
      </c>
      <c r="U126" s="86"/>
      <c r="V126" s="86"/>
      <c r="W126" s="86"/>
      <c r="X126" s="86"/>
      <c r="Y126" s="86">
        <v>66</v>
      </c>
      <c r="Z126" s="86"/>
      <c r="AA126" s="86"/>
      <c r="AB126" s="86"/>
      <c r="AC126" s="86"/>
      <c r="AD126" s="87"/>
      <c r="AE126" s="83"/>
    </row>
    <row r="127" spans="1:31" ht="65.25" thickBot="1">
      <c r="A127" s="83">
        <v>9</v>
      </c>
      <c r="B127" s="25" t="s">
        <v>225</v>
      </c>
      <c r="C127" s="84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>
        <v>18</v>
      </c>
      <c r="O127" s="87"/>
      <c r="P127" s="83">
        <v>13</v>
      </c>
      <c r="Q127" s="87"/>
      <c r="R127" s="84"/>
      <c r="S127" s="87"/>
      <c r="T127" s="84"/>
      <c r="U127" s="87"/>
      <c r="V127" s="84"/>
      <c r="W127" s="84"/>
      <c r="X127" s="87"/>
      <c r="Y127" s="84"/>
      <c r="Z127" s="84"/>
      <c r="AA127" s="87"/>
      <c r="AB127" s="84"/>
      <c r="AC127" s="87"/>
      <c r="AD127" s="88"/>
      <c r="AE127" s="83"/>
    </row>
    <row r="128" spans="1:31" ht="129.75" thickBot="1">
      <c r="A128" s="83" t="s">
        <v>32</v>
      </c>
      <c r="B128" s="22" t="s">
        <v>56</v>
      </c>
      <c r="C128" s="84">
        <v>25</v>
      </c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7"/>
      <c r="V128" s="83"/>
      <c r="W128" s="86"/>
      <c r="X128" s="87"/>
      <c r="Y128" s="83"/>
      <c r="Z128" s="86"/>
      <c r="AA128" s="86"/>
      <c r="AB128" s="86"/>
      <c r="AC128" s="86"/>
      <c r="AD128" s="87"/>
      <c r="AE128" s="83"/>
    </row>
    <row r="129" spans="1:31" ht="129.75" thickBot="1">
      <c r="A129" s="83" t="s">
        <v>32</v>
      </c>
      <c r="B129" s="22" t="s">
        <v>58</v>
      </c>
      <c r="C129" s="84"/>
      <c r="D129" s="86">
        <v>50</v>
      </c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7"/>
      <c r="Y129" s="83"/>
      <c r="Z129" s="86"/>
      <c r="AA129" s="86"/>
      <c r="AB129" s="86"/>
      <c r="AC129" s="86"/>
      <c r="AD129" s="87"/>
      <c r="AE129" s="83"/>
    </row>
    <row r="130" spans="1:31" ht="65.25" thickBot="1">
      <c r="A130" s="83"/>
      <c r="B130" s="22" t="s">
        <v>6</v>
      </c>
      <c r="C130" s="84">
        <f aca="true" t="shared" si="20" ref="C130:AE130">SUM(C123:C129)</f>
        <v>49</v>
      </c>
      <c r="D130" s="84">
        <f t="shared" si="20"/>
        <v>50</v>
      </c>
      <c r="E130" s="84">
        <f t="shared" si="20"/>
        <v>0</v>
      </c>
      <c r="F130" s="84">
        <f t="shared" si="20"/>
        <v>0</v>
      </c>
      <c r="G130" s="84">
        <f t="shared" si="20"/>
        <v>0</v>
      </c>
      <c r="H130" s="84">
        <f t="shared" si="20"/>
        <v>0</v>
      </c>
      <c r="I130" s="84">
        <f t="shared" si="20"/>
        <v>202</v>
      </c>
      <c r="J130" s="84">
        <f t="shared" si="20"/>
        <v>120.5</v>
      </c>
      <c r="K130" s="84">
        <f t="shared" si="20"/>
        <v>0</v>
      </c>
      <c r="L130" s="84">
        <f t="shared" si="20"/>
        <v>0</v>
      </c>
      <c r="M130" s="84">
        <f t="shared" si="20"/>
        <v>0</v>
      </c>
      <c r="N130" s="84">
        <f t="shared" si="20"/>
        <v>18</v>
      </c>
      <c r="O130" s="84">
        <f t="shared" si="20"/>
        <v>0</v>
      </c>
      <c r="P130" s="84">
        <f t="shared" si="20"/>
        <v>13</v>
      </c>
      <c r="Q130" s="84">
        <f t="shared" si="20"/>
        <v>3</v>
      </c>
      <c r="R130" s="84">
        <f t="shared" si="20"/>
        <v>16</v>
      </c>
      <c r="S130" s="84">
        <f t="shared" si="20"/>
        <v>31</v>
      </c>
      <c r="T130" s="84">
        <f t="shared" si="20"/>
        <v>14</v>
      </c>
      <c r="U130" s="84">
        <f t="shared" si="20"/>
        <v>0</v>
      </c>
      <c r="V130" s="84">
        <f t="shared" si="20"/>
        <v>0</v>
      </c>
      <c r="W130" s="84">
        <f t="shared" si="20"/>
        <v>0</v>
      </c>
      <c r="X130" s="84">
        <f t="shared" si="20"/>
        <v>25</v>
      </c>
      <c r="Y130" s="84">
        <f t="shared" si="20"/>
        <v>66</v>
      </c>
      <c r="Z130" s="84">
        <f t="shared" si="20"/>
        <v>0</v>
      </c>
      <c r="AA130" s="84">
        <f t="shared" si="20"/>
        <v>0</v>
      </c>
      <c r="AB130" s="84">
        <f t="shared" si="20"/>
        <v>0</v>
      </c>
      <c r="AC130" s="84">
        <f t="shared" si="20"/>
        <v>0</v>
      </c>
      <c r="AD130" s="88">
        <f t="shared" si="20"/>
        <v>0</v>
      </c>
      <c r="AE130" s="84">
        <f t="shared" si="20"/>
        <v>0</v>
      </c>
    </row>
    <row r="131" spans="1:31" ht="65.25" thickBot="1">
      <c r="A131" s="150" t="s">
        <v>145</v>
      </c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  <c r="W131" s="151"/>
      <c r="X131" s="151"/>
      <c r="Y131" s="151"/>
      <c r="Z131" s="151"/>
      <c r="AA131" s="151"/>
      <c r="AB131" s="151"/>
      <c r="AC131" s="151"/>
      <c r="AD131" s="151"/>
      <c r="AE131" s="152"/>
    </row>
    <row r="132" spans="1:31" ht="129.75" thickBot="1">
      <c r="A132" s="92">
        <v>21.1</v>
      </c>
      <c r="B132" s="27" t="s">
        <v>172</v>
      </c>
      <c r="C132" s="83"/>
      <c r="D132" s="86"/>
      <c r="E132" s="83"/>
      <c r="F132" s="83"/>
      <c r="G132" s="83"/>
      <c r="H132" s="86"/>
      <c r="I132" s="86"/>
      <c r="J132" s="86"/>
      <c r="K132" s="86"/>
      <c r="L132" s="86"/>
      <c r="M132" s="86"/>
      <c r="N132" s="86"/>
      <c r="O132" s="87"/>
      <c r="P132" s="84"/>
      <c r="Q132" s="87"/>
      <c r="R132" s="84"/>
      <c r="S132" s="87"/>
      <c r="T132" s="84">
        <v>185</v>
      </c>
      <c r="U132" s="87"/>
      <c r="V132" s="84"/>
      <c r="W132" s="84"/>
      <c r="X132" s="87"/>
      <c r="Y132" s="84"/>
      <c r="Z132" s="84"/>
      <c r="AA132" s="87"/>
      <c r="AB132" s="84"/>
      <c r="AC132" s="87"/>
      <c r="AD132" s="88"/>
      <c r="AE132" s="83"/>
    </row>
    <row r="133" spans="1:31" ht="194.25" thickBot="1">
      <c r="A133" s="83">
        <v>95</v>
      </c>
      <c r="B133" s="22" t="s">
        <v>266</v>
      </c>
      <c r="C133" s="84"/>
      <c r="D133" s="86"/>
      <c r="E133" s="86">
        <v>33</v>
      </c>
      <c r="F133" s="86"/>
      <c r="G133" s="86"/>
      <c r="H133" s="86"/>
      <c r="I133" s="86">
        <v>27</v>
      </c>
      <c r="J133" s="86">
        <v>6</v>
      </c>
      <c r="K133" s="86"/>
      <c r="L133" s="86"/>
      <c r="M133" s="86"/>
      <c r="N133" s="86"/>
      <c r="O133" s="86"/>
      <c r="P133" s="86">
        <v>2</v>
      </c>
      <c r="Q133" s="86">
        <v>4</v>
      </c>
      <c r="R133" s="86">
        <v>2.2</v>
      </c>
      <c r="S133" s="86">
        <v>5.5</v>
      </c>
      <c r="T133" s="86">
        <v>8</v>
      </c>
      <c r="U133" s="86"/>
      <c r="V133" s="86"/>
      <c r="W133" s="86"/>
      <c r="X133" s="86"/>
      <c r="Y133" s="86"/>
      <c r="Z133" s="86"/>
      <c r="AA133" s="86"/>
      <c r="AB133" s="87"/>
      <c r="AC133" s="83"/>
      <c r="AD133" s="87"/>
      <c r="AE133" s="84">
        <v>1.5</v>
      </c>
    </row>
    <row r="134" spans="1:31" ht="65.25" thickBot="1">
      <c r="A134" s="84"/>
      <c r="B134" s="22" t="s">
        <v>29</v>
      </c>
      <c r="C134" s="84">
        <f aca="true" t="shared" si="21" ref="C134:AE134">C132+C133</f>
        <v>0</v>
      </c>
      <c r="D134" s="84">
        <f t="shared" si="21"/>
        <v>0</v>
      </c>
      <c r="E134" s="84">
        <f t="shared" si="21"/>
        <v>33</v>
      </c>
      <c r="F134" s="84">
        <f t="shared" si="21"/>
        <v>0</v>
      </c>
      <c r="G134" s="84">
        <f t="shared" si="21"/>
        <v>0</v>
      </c>
      <c r="H134" s="84">
        <f t="shared" si="21"/>
        <v>0</v>
      </c>
      <c r="I134" s="84">
        <f t="shared" si="21"/>
        <v>27</v>
      </c>
      <c r="J134" s="84">
        <f t="shared" si="21"/>
        <v>6</v>
      </c>
      <c r="K134" s="84">
        <f t="shared" si="21"/>
        <v>0</v>
      </c>
      <c r="L134" s="84">
        <f t="shared" si="21"/>
        <v>0</v>
      </c>
      <c r="M134" s="84">
        <f t="shared" si="21"/>
        <v>0</v>
      </c>
      <c r="N134" s="84">
        <f t="shared" si="21"/>
        <v>0</v>
      </c>
      <c r="O134" s="84">
        <f t="shared" si="21"/>
        <v>0</v>
      </c>
      <c r="P134" s="84">
        <f t="shared" si="21"/>
        <v>2</v>
      </c>
      <c r="Q134" s="84">
        <f t="shared" si="21"/>
        <v>4</v>
      </c>
      <c r="R134" s="84">
        <f t="shared" si="21"/>
        <v>2.2</v>
      </c>
      <c r="S134" s="84">
        <f t="shared" si="21"/>
        <v>5.5</v>
      </c>
      <c r="T134" s="84">
        <f t="shared" si="21"/>
        <v>193</v>
      </c>
      <c r="U134" s="84">
        <f t="shared" si="21"/>
        <v>0</v>
      </c>
      <c r="V134" s="84">
        <f t="shared" si="21"/>
        <v>0</v>
      </c>
      <c r="W134" s="84">
        <f t="shared" si="21"/>
        <v>0</v>
      </c>
      <c r="X134" s="84">
        <f t="shared" si="21"/>
        <v>0</v>
      </c>
      <c r="Y134" s="84">
        <f t="shared" si="21"/>
        <v>0</v>
      </c>
      <c r="Z134" s="84">
        <f t="shared" si="21"/>
        <v>0</v>
      </c>
      <c r="AA134" s="84">
        <f t="shared" si="21"/>
        <v>0</v>
      </c>
      <c r="AB134" s="84">
        <f t="shared" si="21"/>
        <v>0</v>
      </c>
      <c r="AC134" s="84">
        <f t="shared" si="21"/>
        <v>0</v>
      </c>
      <c r="AD134" s="84">
        <f t="shared" si="21"/>
        <v>0</v>
      </c>
      <c r="AE134" s="84">
        <f t="shared" si="21"/>
        <v>1.5</v>
      </c>
    </row>
    <row r="135" spans="1:31" ht="65.25" thickBot="1">
      <c r="A135" s="155" t="s">
        <v>144</v>
      </c>
      <c r="B135" s="156"/>
      <c r="C135" s="156"/>
      <c r="D135" s="156"/>
      <c r="E135" s="156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7"/>
    </row>
    <row r="136" spans="1:31" ht="65.25" thickBot="1">
      <c r="A136" s="83">
        <v>26</v>
      </c>
      <c r="B136" s="25" t="s">
        <v>249</v>
      </c>
      <c r="C136" s="84"/>
      <c r="D136" s="86"/>
      <c r="E136" s="86"/>
      <c r="F136" s="86"/>
      <c r="G136" s="84">
        <v>27</v>
      </c>
      <c r="H136" s="86"/>
      <c r="I136" s="86"/>
      <c r="J136" s="120"/>
      <c r="K136" s="120"/>
      <c r="L136" s="120"/>
      <c r="M136" s="120"/>
      <c r="N136" s="86"/>
      <c r="O136" s="84"/>
      <c r="P136" s="87">
        <v>5</v>
      </c>
      <c r="Q136" s="84">
        <v>2</v>
      </c>
      <c r="R136" s="87"/>
      <c r="S136" s="84"/>
      <c r="T136" s="87">
        <v>122</v>
      </c>
      <c r="U136" s="84"/>
      <c r="V136" s="87"/>
      <c r="W136" s="84"/>
      <c r="X136" s="87"/>
      <c r="Y136" s="84"/>
      <c r="Z136" s="87"/>
      <c r="AA136" s="84"/>
      <c r="AB136" s="87"/>
      <c r="AC136" s="84"/>
      <c r="AD136" s="88"/>
      <c r="AE136" s="83"/>
    </row>
    <row r="137" spans="1:31" ht="65.25" thickBot="1">
      <c r="A137" s="84">
        <v>13</v>
      </c>
      <c r="B137" s="23" t="s">
        <v>7</v>
      </c>
      <c r="C137" s="84"/>
      <c r="D137" s="85"/>
      <c r="E137" s="85"/>
      <c r="F137" s="85"/>
      <c r="G137" s="85"/>
      <c r="H137" s="86"/>
      <c r="I137" s="86"/>
      <c r="J137" s="86"/>
      <c r="K137" s="86"/>
      <c r="L137" s="86"/>
      <c r="M137" s="86"/>
      <c r="N137" s="86"/>
      <c r="O137" s="87"/>
      <c r="P137" s="84">
        <v>12</v>
      </c>
      <c r="Q137" s="87"/>
      <c r="R137" s="84"/>
      <c r="S137" s="87"/>
      <c r="T137" s="84"/>
      <c r="U137" s="84"/>
      <c r="V137" s="87"/>
      <c r="W137" s="84"/>
      <c r="X137" s="87"/>
      <c r="Y137" s="84"/>
      <c r="Z137" s="84"/>
      <c r="AA137" s="87"/>
      <c r="AB137" s="84">
        <v>0.58</v>
      </c>
      <c r="AC137" s="84"/>
      <c r="AD137" s="87"/>
      <c r="AE137" s="83"/>
    </row>
    <row r="138" spans="1:31" ht="129.75" thickBot="1">
      <c r="A138" s="83">
        <v>69</v>
      </c>
      <c r="B138" s="22" t="s">
        <v>106</v>
      </c>
      <c r="C138" s="84"/>
      <c r="D138" s="86"/>
      <c r="E138" s="86"/>
      <c r="F138" s="86"/>
      <c r="G138" s="86"/>
      <c r="H138" s="86"/>
      <c r="I138" s="86"/>
      <c r="J138" s="86"/>
      <c r="K138" s="86"/>
      <c r="L138" s="86"/>
      <c r="M138" s="86">
        <v>85</v>
      </c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7"/>
      <c r="AE138" s="84"/>
    </row>
    <row r="139" spans="1:31" ht="129.75" thickBot="1">
      <c r="A139" s="83" t="s">
        <v>32</v>
      </c>
      <c r="B139" s="22" t="s">
        <v>56</v>
      </c>
      <c r="C139" s="84">
        <v>25</v>
      </c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7"/>
      <c r="AE139" s="83"/>
    </row>
    <row r="140" spans="1:31" ht="65.25" thickBot="1">
      <c r="A140" s="83"/>
      <c r="B140" s="22" t="s">
        <v>6</v>
      </c>
      <c r="C140" s="84">
        <f aca="true" t="shared" si="22" ref="C140:AE140">SUM(C136:C139)</f>
        <v>25</v>
      </c>
      <c r="D140" s="84">
        <f t="shared" si="22"/>
        <v>0</v>
      </c>
      <c r="E140" s="84">
        <f t="shared" si="22"/>
        <v>0</v>
      </c>
      <c r="F140" s="84">
        <f t="shared" si="22"/>
        <v>0</v>
      </c>
      <c r="G140" s="84">
        <f t="shared" si="22"/>
        <v>27</v>
      </c>
      <c r="H140" s="84">
        <f t="shared" si="22"/>
        <v>0</v>
      </c>
      <c r="I140" s="84">
        <f t="shared" si="22"/>
        <v>0</v>
      </c>
      <c r="J140" s="84">
        <f t="shared" si="22"/>
        <v>0</v>
      </c>
      <c r="K140" s="84">
        <f t="shared" si="22"/>
        <v>0</v>
      </c>
      <c r="L140" s="84">
        <f t="shared" si="22"/>
        <v>0</v>
      </c>
      <c r="M140" s="84">
        <f t="shared" si="22"/>
        <v>85</v>
      </c>
      <c r="N140" s="84">
        <f t="shared" si="22"/>
        <v>0</v>
      </c>
      <c r="O140" s="84">
        <f t="shared" si="22"/>
        <v>0</v>
      </c>
      <c r="P140" s="84">
        <f t="shared" si="22"/>
        <v>17</v>
      </c>
      <c r="Q140" s="84">
        <f t="shared" si="22"/>
        <v>2</v>
      </c>
      <c r="R140" s="84">
        <f t="shared" si="22"/>
        <v>0</v>
      </c>
      <c r="S140" s="84">
        <f t="shared" si="22"/>
        <v>0</v>
      </c>
      <c r="T140" s="84">
        <f t="shared" si="22"/>
        <v>122</v>
      </c>
      <c r="U140" s="84">
        <f t="shared" si="22"/>
        <v>0</v>
      </c>
      <c r="V140" s="84">
        <f t="shared" si="22"/>
        <v>0</v>
      </c>
      <c r="W140" s="84">
        <f t="shared" si="22"/>
        <v>0</v>
      </c>
      <c r="X140" s="84">
        <f t="shared" si="22"/>
        <v>0</v>
      </c>
      <c r="Y140" s="84">
        <f t="shared" si="22"/>
        <v>0</v>
      </c>
      <c r="Z140" s="84">
        <f t="shared" si="22"/>
        <v>0</v>
      </c>
      <c r="AA140" s="84">
        <f t="shared" si="22"/>
        <v>0</v>
      </c>
      <c r="AB140" s="84">
        <f t="shared" si="22"/>
        <v>0.58</v>
      </c>
      <c r="AC140" s="84">
        <f t="shared" si="22"/>
        <v>0</v>
      </c>
      <c r="AD140" s="84">
        <f t="shared" si="22"/>
        <v>0</v>
      </c>
      <c r="AE140" s="84">
        <f t="shared" si="22"/>
        <v>0</v>
      </c>
    </row>
    <row r="141" spans="1:31" ht="194.25" thickBot="1">
      <c r="A141" s="145"/>
      <c r="B141" s="22" t="s">
        <v>150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8"/>
      <c r="AE141" s="84"/>
    </row>
    <row r="142" spans="1:31" ht="65.25" thickBot="1">
      <c r="A142" s="83"/>
      <c r="B142" s="93" t="s">
        <v>10</v>
      </c>
      <c r="C142" s="84">
        <f aca="true" t="shared" si="23" ref="C142:AE142">C118+C121+C130+C134+C140</f>
        <v>99</v>
      </c>
      <c r="D142" s="84">
        <f t="shared" si="23"/>
        <v>50</v>
      </c>
      <c r="E142" s="84">
        <f t="shared" si="23"/>
        <v>33</v>
      </c>
      <c r="F142" s="84">
        <f t="shared" si="23"/>
        <v>0</v>
      </c>
      <c r="G142" s="84">
        <f t="shared" si="23"/>
        <v>27</v>
      </c>
      <c r="H142" s="84">
        <f t="shared" si="23"/>
        <v>15</v>
      </c>
      <c r="I142" s="84">
        <f t="shared" si="23"/>
        <v>229</v>
      </c>
      <c r="J142" s="84">
        <f t="shared" si="23"/>
        <v>126.5</v>
      </c>
      <c r="K142" s="84">
        <f t="shared" si="23"/>
        <v>150</v>
      </c>
      <c r="L142" s="84">
        <f t="shared" si="23"/>
        <v>0</v>
      </c>
      <c r="M142" s="84">
        <f t="shared" si="23"/>
        <v>85</v>
      </c>
      <c r="N142" s="84">
        <f t="shared" si="23"/>
        <v>18</v>
      </c>
      <c r="O142" s="84">
        <f t="shared" si="23"/>
        <v>0</v>
      </c>
      <c r="P142" s="84">
        <f t="shared" si="23"/>
        <v>48</v>
      </c>
      <c r="Q142" s="84">
        <f t="shared" si="23"/>
        <v>14.9</v>
      </c>
      <c r="R142" s="84">
        <f t="shared" si="23"/>
        <v>18.2</v>
      </c>
      <c r="S142" s="84">
        <f t="shared" si="23"/>
        <v>36.5</v>
      </c>
      <c r="T142" s="84">
        <f t="shared" si="23"/>
        <v>568</v>
      </c>
      <c r="U142" s="84">
        <f t="shared" si="23"/>
        <v>0</v>
      </c>
      <c r="V142" s="84">
        <f t="shared" si="23"/>
        <v>0</v>
      </c>
      <c r="W142" s="84">
        <f t="shared" si="23"/>
        <v>0</v>
      </c>
      <c r="X142" s="84">
        <f t="shared" si="23"/>
        <v>25</v>
      </c>
      <c r="Y142" s="84">
        <f t="shared" si="23"/>
        <v>66</v>
      </c>
      <c r="Z142" s="84">
        <f t="shared" si="23"/>
        <v>0</v>
      </c>
      <c r="AA142" s="84">
        <f t="shared" si="23"/>
        <v>0</v>
      </c>
      <c r="AB142" s="84">
        <f t="shared" si="23"/>
        <v>0.58</v>
      </c>
      <c r="AC142" s="84">
        <f t="shared" si="23"/>
        <v>2.4</v>
      </c>
      <c r="AD142" s="84">
        <f t="shared" si="23"/>
        <v>0</v>
      </c>
      <c r="AE142" s="84">
        <f t="shared" si="23"/>
        <v>1.5</v>
      </c>
    </row>
    <row r="143" spans="1:31" ht="65.25" thickBot="1">
      <c r="A143" s="150" t="s">
        <v>40</v>
      </c>
      <c r="B143" s="151"/>
      <c r="C143" s="151"/>
      <c r="D143" s="151"/>
      <c r="E143" s="151"/>
      <c r="F143" s="151"/>
      <c r="G143" s="151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2"/>
    </row>
    <row r="144" spans="1:31" ht="65.25" thickBot="1">
      <c r="A144" s="150" t="s">
        <v>16</v>
      </c>
      <c r="B144" s="151"/>
      <c r="C144" s="151"/>
      <c r="D144" s="151"/>
      <c r="E144" s="151"/>
      <c r="F144" s="151"/>
      <c r="G144" s="151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  <c r="W144" s="151"/>
      <c r="X144" s="151"/>
      <c r="Y144" s="151"/>
      <c r="Z144" s="151"/>
      <c r="AA144" s="151"/>
      <c r="AB144" s="151"/>
      <c r="AC144" s="151"/>
      <c r="AD144" s="151"/>
      <c r="AE144" s="152"/>
    </row>
    <row r="145" spans="1:31" ht="45.75" customHeight="1">
      <c r="A145" s="166" t="s">
        <v>30</v>
      </c>
      <c r="B145" s="168" t="s">
        <v>23</v>
      </c>
      <c r="C145" s="153" t="s">
        <v>116</v>
      </c>
      <c r="D145" s="153" t="s">
        <v>117</v>
      </c>
      <c r="E145" s="153" t="s">
        <v>130</v>
      </c>
      <c r="F145" s="153" t="s">
        <v>119</v>
      </c>
      <c r="G145" s="153" t="s">
        <v>131</v>
      </c>
      <c r="H145" s="153" t="s">
        <v>132</v>
      </c>
      <c r="I145" s="153" t="s">
        <v>110</v>
      </c>
      <c r="J145" s="153" t="s">
        <v>257</v>
      </c>
      <c r="K145" s="140"/>
      <c r="L145" s="140"/>
      <c r="M145" s="153" t="s">
        <v>142</v>
      </c>
      <c r="N145" s="153" t="s">
        <v>79</v>
      </c>
      <c r="O145" s="153" t="s">
        <v>139</v>
      </c>
      <c r="P145" s="153" t="s">
        <v>80</v>
      </c>
      <c r="Q145" s="153" t="s">
        <v>124</v>
      </c>
      <c r="R145" s="153" t="s">
        <v>81</v>
      </c>
      <c r="S145" s="153" t="s">
        <v>134</v>
      </c>
      <c r="T145" s="153" t="s">
        <v>135</v>
      </c>
      <c r="U145" s="153" t="s">
        <v>136</v>
      </c>
      <c r="V145" s="140"/>
      <c r="W145" s="153" t="s">
        <v>113</v>
      </c>
      <c r="X145" s="153" t="s">
        <v>129</v>
      </c>
      <c r="Y145" s="153" t="s">
        <v>84</v>
      </c>
      <c r="Z145" s="153" t="s">
        <v>82</v>
      </c>
      <c r="AA145" s="153" t="s">
        <v>83</v>
      </c>
      <c r="AB145" s="153" t="s">
        <v>85</v>
      </c>
      <c r="AC145" s="140"/>
      <c r="AD145" s="158" t="s">
        <v>78</v>
      </c>
      <c r="AE145" s="153" t="s">
        <v>137</v>
      </c>
    </row>
    <row r="146" spans="1:31" ht="409.5" customHeight="1" thickBot="1">
      <c r="A146" s="167"/>
      <c r="B146" s="169"/>
      <c r="C146" s="154"/>
      <c r="D146" s="154"/>
      <c r="E146" s="154"/>
      <c r="F146" s="154"/>
      <c r="G146" s="154"/>
      <c r="H146" s="154"/>
      <c r="I146" s="154"/>
      <c r="J146" s="154"/>
      <c r="K146" s="141" t="s">
        <v>133</v>
      </c>
      <c r="L146" s="141" t="s">
        <v>143</v>
      </c>
      <c r="M146" s="154"/>
      <c r="N146" s="154"/>
      <c r="O146" s="154"/>
      <c r="P146" s="154"/>
      <c r="Q146" s="154"/>
      <c r="R146" s="154"/>
      <c r="S146" s="154"/>
      <c r="T146" s="154"/>
      <c r="U146" s="154"/>
      <c r="V146" s="141" t="s">
        <v>140</v>
      </c>
      <c r="W146" s="154"/>
      <c r="X146" s="154"/>
      <c r="Y146" s="154"/>
      <c r="Z146" s="154"/>
      <c r="AA146" s="154"/>
      <c r="AB146" s="154"/>
      <c r="AC146" s="141" t="s">
        <v>77</v>
      </c>
      <c r="AD146" s="159"/>
      <c r="AE146" s="154"/>
    </row>
    <row r="147" spans="1:31" ht="65.25" thickBot="1">
      <c r="A147" s="145">
        <v>1</v>
      </c>
      <c r="B147" s="79">
        <v>2</v>
      </c>
      <c r="C147" s="80" t="s">
        <v>54</v>
      </c>
      <c r="D147" s="81">
        <v>4</v>
      </c>
      <c r="E147" s="80">
        <v>5</v>
      </c>
      <c r="F147" s="80">
        <v>6</v>
      </c>
      <c r="G147" s="80">
        <v>7</v>
      </c>
      <c r="H147" s="80">
        <v>8</v>
      </c>
      <c r="I147" s="80" t="s">
        <v>55</v>
      </c>
      <c r="J147" s="81">
        <v>10</v>
      </c>
      <c r="K147" s="80">
        <v>11</v>
      </c>
      <c r="L147" s="108">
        <v>12</v>
      </c>
      <c r="M147" s="80">
        <v>13</v>
      </c>
      <c r="N147" s="80">
        <v>14</v>
      </c>
      <c r="O147" s="80">
        <v>15</v>
      </c>
      <c r="P147" s="80">
        <v>16</v>
      </c>
      <c r="Q147" s="143">
        <v>17</v>
      </c>
      <c r="R147" s="80">
        <v>18</v>
      </c>
      <c r="S147" s="143">
        <v>19</v>
      </c>
      <c r="T147" s="80">
        <v>20</v>
      </c>
      <c r="U147" s="143">
        <v>21</v>
      </c>
      <c r="V147" s="143">
        <v>22</v>
      </c>
      <c r="W147" s="80">
        <v>23</v>
      </c>
      <c r="X147" s="80">
        <v>24</v>
      </c>
      <c r="Y147" s="143">
        <v>25</v>
      </c>
      <c r="Z147" s="80">
        <v>26</v>
      </c>
      <c r="AA147" s="80">
        <v>27</v>
      </c>
      <c r="AB147" s="80">
        <v>28</v>
      </c>
      <c r="AC147" s="143">
        <v>29</v>
      </c>
      <c r="AD147" s="142">
        <v>30</v>
      </c>
      <c r="AE147" s="80">
        <v>32</v>
      </c>
    </row>
    <row r="148" spans="1:31" s="82" customFormat="1" ht="53.25" customHeight="1" thickBot="1">
      <c r="A148" s="150" t="s">
        <v>5</v>
      </c>
      <c r="B148" s="151"/>
      <c r="C148" s="151"/>
      <c r="D148" s="151"/>
      <c r="E148" s="151"/>
      <c r="F148" s="151"/>
      <c r="G148" s="151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  <c r="W148" s="151"/>
      <c r="X148" s="151"/>
      <c r="Y148" s="151"/>
      <c r="Z148" s="151"/>
      <c r="AA148" s="151"/>
      <c r="AB148" s="151"/>
      <c r="AC148" s="151"/>
      <c r="AD148" s="151"/>
      <c r="AE148" s="152"/>
    </row>
    <row r="149" spans="1:31" ht="129.75" thickBot="1">
      <c r="A149" s="84">
        <v>84</v>
      </c>
      <c r="B149" s="25" t="s">
        <v>204</v>
      </c>
      <c r="C149" s="84"/>
      <c r="D149" s="85"/>
      <c r="E149" s="85"/>
      <c r="F149" s="85"/>
      <c r="G149" s="85">
        <v>18</v>
      </c>
      <c r="H149" s="86"/>
      <c r="I149" s="86"/>
      <c r="J149" s="86"/>
      <c r="K149" s="86"/>
      <c r="L149" s="86"/>
      <c r="M149" s="86"/>
      <c r="N149" s="86"/>
      <c r="O149" s="86"/>
      <c r="P149" s="86">
        <v>5</v>
      </c>
      <c r="Q149" s="86">
        <v>2</v>
      </c>
      <c r="R149" s="86"/>
      <c r="S149" s="86"/>
      <c r="T149" s="86">
        <v>136</v>
      </c>
      <c r="U149" s="87"/>
      <c r="V149" s="84"/>
      <c r="W149" s="87"/>
      <c r="X149" s="84"/>
      <c r="Y149" s="86"/>
      <c r="Z149" s="86"/>
      <c r="AA149" s="86"/>
      <c r="AB149" s="86"/>
      <c r="AC149" s="86"/>
      <c r="AD149" s="87"/>
      <c r="AE149" s="83"/>
    </row>
    <row r="150" spans="1:31" ht="65.25" thickBot="1">
      <c r="A150" s="83">
        <v>15</v>
      </c>
      <c r="B150" s="22" t="s">
        <v>224</v>
      </c>
      <c r="C150" s="84"/>
      <c r="D150" s="85"/>
      <c r="E150" s="85"/>
      <c r="F150" s="85"/>
      <c r="G150" s="85"/>
      <c r="H150" s="86"/>
      <c r="I150" s="86"/>
      <c r="J150" s="86"/>
      <c r="K150" s="86"/>
      <c r="L150" s="86"/>
      <c r="M150" s="86"/>
      <c r="N150" s="86"/>
      <c r="O150" s="87"/>
      <c r="P150" s="84">
        <v>11</v>
      </c>
      <c r="Q150" s="87"/>
      <c r="R150" s="84"/>
      <c r="S150" s="87"/>
      <c r="T150" s="84">
        <v>100</v>
      </c>
      <c r="U150" s="87"/>
      <c r="V150" s="83"/>
      <c r="W150" s="84"/>
      <c r="X150" s="83"/>
      <c r="Y150" s="87"/>
      <c r="Z150" s="84"/>
      <c r="AA150" s="84"/>
      <c r="AB150" s="87"/>
      <c r="AC150" s="83"/>
      <c r="AD150" s="88">
        <v>1.3</v>
      </c>
      <c r="AE150" s="84"/>
    </row>
    <row r="151" spans="1:31" ht="129.75" thickBot="1">
      <c r="A151" s="83">
        <v>3</v>
      </c>
      <c r="B151" s="22" t="s">
        <v>38</v>
      </c>
      <c r="C151" s="86">
        <v>25</v>
      </c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3"/>
      <c r="P151" s="87"/>
      <c r="Q151" s="84">
        <v>5</v>
      </c>
      <c r="R151" s="87"/>
      <c r="S151" s="83"/>
      <c r="T151" s="87"/>
      <c r="U151" s="90"/>
      <c r="V151" s="83"/>
      <c r="W151" s="84"/>
      <c r="X151" s="87"/>
      <c r="Y151" s="83"/>
      <c r="Z151" s="87"/>
      <c r="AA151" s="83">
        <v>13</v>
      </c>
      <c r="AB151" s="87"/>
      <c r="AC151" s="83"/>
      <c r="AD151" s="87"/>
      <c r="AE151" s="83"/>
    </row>
    <row r="152" spans="1:31" ht="65.25" thickBot="1">
      <c r="A152" s="83"/>
      <c r="B152" s="22" t="s">
        <v>6</v>
      </c>
      <c r="C152" s="84">
        <f>C149+C150+C151</f>
        <v>25</v>
      </c>
      <c r="D152" s="84">
        <f aca="true" t="shared" si="24" ref="D152:AE152">D149+D150+D151</f>
        <v>0</v>
      </c>
      <c r="E152" s="84">
        <f t="shared" si="24"/>
        <v>0</v>
      </c>
      <c r="F152" s="84">
        <f t="shared" si="24"/>
        <v>0</v>
      </c>
      <c r="G152" s="84">
        <f t="shared" si="24"/>
        <v>18</v>
      </c>
      <c r="H152" s="84">
        <f t="shared" si="24"/>
        <v>0</v>
      </c>
      <c r="I152" s="84">
        <f t="shared" si="24"/>
        <v>0</v>
      </c>
      <c r="J152" s="84">
        <f t="shared" si="24"/>
        <v>0</v>
      </c>
      <c r="K152" s="84">
        <f t="shared" si="24"/>
        <v>0</v>
      </c>
      <c r="L152" s="84">
        <f t="shared" si="24"/>
        <v>0</v>
      </c>
      <c r="M152" s="84">
        <f t="shared" si="24"/>
        <v>0</v>
      </c>
      <c r="N152" s="84">
        <f t="shared" si="24"/>
        <v>0</v>
      </c>
      <c r="O152" s="84">
        <f t="shared" si="24"/>
        <v>0</v>
      </c>
      <c r="P152" s="84">
        <f t="shared" si="24"/>
        <v>16</v>
      </c>
      <c r="Q152" s="84">
        <f t="shared" si="24"/>
        <v>7</v>
      </c>
      <c r="R152" s="84">
        <f t="shared" si="24"/>
        <v>0</v>
      </c>
      <c r="S152" s="84">
        <f t="shared" si="24"/>
        <v>0</v>
      </c>
      <c r="T152" s="84">
        <f t="shared" si="24"/>
        <v>236</v>
      </c>
      <c r="U152" s="84">
        <f t="shared" si="24"/>
        <v>0</v>
      </c>
      <c r="V152" s="84">
        <f t="shared" si="24"/>
        <v>0</v>
      </c>
      <c r="W152" s="84">
        <f t="shared" si="24"/>
        <v>0</v>
      </c>
      <c r="X152" s="84">
        <f t="shared" si="24"/>
        <v>0</v>
      </c>
      <c r="Y152" s="84">
        <f t="shared" si="24"/>
        <v>0</v>
      </c>
      <c r="Z152" s="84">
        <f t="shared" si="24"/>
        <v>0</v>
      </c>
      <c r="AA152" s="84">
        <f t="shared" si="24"/>
        <v>13</v>
      </c>
      <c r="AB152" s="84">
        <f t="shared" si="24"/>
        <v>0</v>
      </c>
      <c r="AC152" s="84">
        <f t="shared" si="24"/>
        <v>0</v>
      </c>
      <c r="AD152" s="84">
        <f t="shared" si="24"/>
        <v>1.3</v>
      </c>
      <c r="AE152" s="84">
        <f t="shared" si="24"/>
        <v>0</v>
      </c>
    </row>
    <row r="153" spans="1:31" ht="65.25" thickBot="1">
      <c r="A153" s="155" t="s">
        <v>53</v>
      </c>
      <c r="B153" s="156"/>
      <c r="C153" s="156"/>
      <c r="D153" s="156"/>
      <c r="E153" s="156"/>
      <c r="F153" s="156"/>
      <c r="G153" s="156"/>
      <c r="H153" s="156"/>
      <c r="I153" s="156"/>
      <c r="J153" s="156"/>
      <c r="K153" s="156"/>
      <c r="L153" s="156"/>
      <c r="M153" s="156"/>
      <c r="N153" s="156"/>
      <c r="O153" s="156"/>
      <c r="P153" s="156"/>
      <c r="Q153" s="156"/>
      <c r="R153" s="156"/>
      <c r="S153" s="156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  <c r="AE153" s="157"/>
    </row>
    <row r="154" spans="1:31" ht="65.25" thickBot="1">
      <c r="A154" s="83" t="s">
        <v>32</v>
      </c>
      <c r="B154" s="25" t="s">
        <v>182</v>
      </c>
      <c r="C154" s="84"/>
      <c r="D154" s="86"/>
      <c r="E154" s="86"/>
      <c r="F154" s="86"/>
      <c r="G154" s="86"/>
      <c r="H154" s="86"/>
      <c r="I154" s="86"/>
      <c r="J154" s="86"/>
      <c r="K154" s="86">
        <v>150</v>
      </c>
      <c r="L154" s="86"/>
      <c r="M154" s="86"/>
      <c r="N154" s="86"/>
      <c r="O154" s="87"/>
      <c r="P154" s="84"/>
      <c r="Q154" s="87"/>
      <c r="R154" s="84"/>
      <c r="S154" s="87"/>
      <c r="T154" s="84"/>
      <c r="U154" s="87"/>
      <c r="V154" s="84"/>
      <c r="W154" s="84"/>
      <c r="X154" s="87"/>
      <c r="Y154" s="84"/>
      <c r="Z154" s="84"/>
      <c r="AA154" s="87"/>
      <c r="AB154" s="84"/>
      <c r="AC154" s="87"/>
      <c r="AD154" s="88"/>
      <c r="AE154" s="83"/>
    </row>
    <row r="155" spans="1:31" ht="65.25" thickBot="1">
      <c r="A155" s="83"/>
      <c r="B155" s="22" t="s">
        <v>29</v>
      </c>
      <c r="C155" s="86">
        <f>SUM(C154)</f>
        <v>0</v>
      </c>
      <c r="D155" s="86">
        <f>SUM(D154)</f>
        <v>0</v>
      </c>
      <c r="E155" s="86">
        <f aca="true" t="shared" si="25" ref="E155:AD155">SUM(E154)</f>
        <v>0</v>
      </c>
      <c r="F155" s="86">
        <f t="shared" si="25"/>
        <v>0</v>
      </c>
      <c r="G155" s="86">
        <f t="shared" si="25"/>
        <v>0</v>
      </c>
      <c r="H155" s="86">
        <f t="shared" si="25"/>
        <v>0</v>
      </c>
      <c r="I155" s="86">
        <f t="shared" si="25"/>
        <v>0</v>
      </c>
      <c r="J155" s="86">
        <f t="shared" si="25"/>
        <v>0</v>
      </c>
      <c r="K155" s="86">
        <f t="shared" si="25"/>
        <v>150</v>
      </c>
      <c r="L155" s="86">
        <f t="shared" si="25"/>
        <v>0</v>
      </c>
      <c r="M155" s="86">
        <f t="shared" si="25"/>
        <v>0</v>
      </c>
      <c r="N155" s="86">
        <f t="shared" si="25"/>
        <v>0</v>
      </c>
      <c r="O155" s="86">
        <f t="shared" si="25"/>
        <v>0</v>
      </c>
      <c r="P155" s="86">
        <f t="shared" si="25"/>
        <v>0</v>
      </c>
      <c r="Q155" s="86">
        <f t="shared" si="25"/>
        <v>0</v>
      </c>
      <c r="R155" s="86">
        <f t="shared" si="25"/>
        <v>0</v>
      </c>
      <c r="S155" s="86">
        <f t="shared" si="25"/>
        <v>0</v>
      </c>
      <c r="T155" s="86">
        <f t="shared" si="25"/>
        <v>0</v>
      </c>
      <c r="U155" s="86">
        <f t="shared" si="25"/>
        <v>0</v>
      </c>
      <c r="V155" s="86">
        <f t="shared" si="25"/>
        <v>0</v>
      </c>
      <c r="W155" s="86">
        <f t="shared" si="25"/>
        <v>0</v>
      </c>
      <c r="X155" s="86">
        <f t="shared" si="25"/>
        <v>0</v>
      </c>
      <c r="Y155" s="86">
        <f t="shared" si="25"/>
        <v>0</v>
      </c>
      <c r="Z155" s="86">
        <f t="shared" si="25"/>
        <v>0</v>
      </c>
      <c r="AA155" s="86">
        <f t="shared" si="25"/>
        <v>0</v>
      </c>
      <c r="AB155" s="86">
        <f t="shared" si="25"/>
        <v>0</v>
      </c>
      <c r="AC155" s="86">
        <f t="shared" si="25"/>
        <v>0</v>
      </c>
      <c r="AD155" s="87">
        <f t="shared" si="25"/>
        <v>0</v>
      </c>
      <c r="AE155" s="83">
        <f>SUM(AE154)</f>
        <v>0</v>
      </c>
    </row>
    <row r="156" spans="1:31" ht="65.25" thickBot="1">
      <c r="A156" s="155" t="s">
        <v>31</v>
      </c>
      <c r="B156" s="156"/>
      <c r="C156" s="156"/>
      <c r="D156" s="156"/>
      <c r="E156" s="156"/>
      <c r="F156" s="156"/>
      <c r="G156" s="156"/>
      <c r="H156" s="156"/>
      <c r="I156" s="156"/>
      <c r="J156" s="156"/>
      <c r="K156" s="156"/>
      <c r="L156" s="156"/>
      <c r="M156" s="156"/>
      <c r="N156" s="156"/>
      <c r="O156" s="156"/>
      <c r="P156" s="156"/>
      <c r="Q156" s="156"/>
      <c r="R156" s="156"/>
      <c r="S156" s="156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  <c r="AE156" s="157"/>
    </row>
    <row r="157" spans="1:31" ht="65.25" thickBot="1">
      <c r="A157" s="84">
        <v>51</v>
      </c>
      <c r="B157" s="22" t="s">
        <v>226</v>
      </c>
      <c r="C157" s="84"/>
      <c r="D157" s="86"/>
      <c r="E157" s="86"/>
      <c r="F157" s="86"/>
      <c r="G157" s="86"/>
      <c r="H157" s="86"/>
      <c r="I157" s="86"/>
      <c r="J157" s="86">
        <v>56.5</v>
      </c>
      <c r="K157" s="86"/>
      <c r="L157" s="86"/>
      <c r="M157" s="86"/>
      <c r="N157" s="86"/>
      <c r="O157" s="87"/>
      <c r="P157" s="83"/>
      <c r="Q157" s="87"/>
      <c r="R157" s="83">
        <v>5</v>
      </c>
      <c r="S157" s="87"/>
      <c r="T157" s="83"/>
      <c r="U157" s="87"/>
      <c r="V157" s="84"/>
      <c r="W157" s="83"/>
      <c r="X157" s="87"/>
      <c r="Y157" s="84"/>
      <c r="Z157" s="83"/>
      <c r="AA157" s="87"/>
      <c r="AB157" s="83"/>
      <c r="AC157" s="84"/>
      <c r="AD157" s="87"/>
      <c r="AE157" s="84"/>
    </row>
    <row r="158" spans="1:31" ht="129.75" thickBot="1">
      <c r="A158" s="83">
        <v>25</v>
      </c>
      <c r="B158" s="22" t="s">
        <v>39</v>
      </c>
      <c r="C158" s="84"/>
      <c r="D158" s="86"/>
      <c r="E158" s="86"/>
      <c r="F158" s="86"/>
      <c r="G158" s="86">
        <v>4</v>
      </c>
      <c r="H158" s="86"/>
      <c r="I158" s="86">
        <v>60</v>
      </c>
      <c r="J158" s="86">
        <v>28</v>
      </c>
      <c r="K158" s="86"/>
      <c r="L158" s="86"/>
      <c r="M158" s="86"/>
      <c r="N158" s="86"/>
      <c r="O158" s="83"/>
      <c r="P158" s="87"/>
      <c r="Q158" s="83">
        <v>3</v>
      </c>
      <c r="R158" s="87"/>
      <c r="S158" s="83"/>
      <c r="T158" s="87"/>
      <c r="U158" s="83"/>
      <c r="V158" s="87"/>
      <c r="W158" s="83">
        <v>13</v>
      </c>
      <c r="X158" s="87"/>
      <c r="Y158" s="83"/>
      <c r="Z158" s="84">
        <v>8</v>
      </c>
      <c r="AA158" s="83"/>
      <c r="AB158" s="83"/>
      <c r="AC158" s="87"/>
      <c r="AD158" s="90"/>
      <c r="AE158" s="83"/>
    </row>
    <row r="159" spans="1:31" ht="65.25" thickBot="1">
      <c r="A159" s="83">
        <v>81</v>
      </c>
      <c r="B159" s="22" t="s">
        <v>209</v>
      </c>
      <c r="C159" s="84"/>
      <c r="D159" s="86"/>
      <c r="E159" s="86">
        <v>1.8</v>
      </c>
      <c r="F159" s="86"/>
      <c r="G159" s="86"/>
      <c r="H159" s="86"/>
      <c r="I159" s="86"/>
      <c r="J159" s="86">
        <v>186.6</v>
      </c>
      <c r="K159" s="86"/>
      <c r="L159" s="86"/>
      <c r="M159" s="86"/>
      <c r="N159" s="86"/>
      <c r="O159" s="86"/>
      <c r="P159" s="86">
        <v>4</v>
      </c>
      <c r="Q159" s="86"/>
      <c r="R159" s="86">
        <v>4</v>
      </c>
      <c r="S159" s="86"/>
      <c r="T159" s="86"/>
      <c r="U159" s="86"/>
      <c r="V159" s="86"/>
      <c r="W159" s="86">
        <v>98</v>
      </c>
      <c r="X159" s="86"/>
      <c r="Y159" s="86"/>
      <c r="Z159" s="86"/>
      <c r="AA159" s="86"/>
      <c r="AB159" s="86"/>
      <c r="AC159" s="86"/>
      <c r="AD159" s="87"/>
      <c r="AE159" s="83"/>
    </row>
    <row r="160" spans="1:31" ht="177.75" customHeight="1" thickBot="1">
      <c r="A160" s="99">
        <v>66</v>
      </c>
      <c r="B160" s="27" t="s">
        <v>146</v>
      </c>
      <c r="C160" s="83"/>
      <c r="D160" s="86"/>
      <c r="E160" s="83"/>
      <c r="F160" s="83"/>
      <c r="G160" s="83"/>
      <c r="H160" s="86"/>
      <c r="I160" s="86"/>
      <c r="J160" s="86"/>
      <c r="K160" s="86"/>
      <c r="L160" s="86"/>
      <c r="M160" s="86"/>
      <c r="N160" s="86">
        <v>20</v>
      </c>
      <c r="O160" s="87"/>
      <c r="P160" s="84">
        <v>13</v>
      </c>
      <c r="Q160" s="87"/>
      <c r="R160" s="84"/>
      <c r="S160" s="87"/>
      <c r="T160" s="84"/>
      <c r="U160" s="87"/>
      <c r="V160" s="84"/>
      <c r="W160" s="84"/>
      <c r="X160" s="87"/>
      <c r="Y160" s="84"/>
      <c r="Z160" s="84"/>
      <c r="AA160" s="87"/>
      <c r="AB160" s="84"/>
      <c r="AC160" s="87"/>
      <c r="AD160" s="88"/>
      <c r="AE160" s="83"/>
    </row>
    <row r="161" spans="1:31" ht="177.75" customHeight="1" thickBot="1">
      <c r="A161" s="83" t="s">
        <v>32</v>
      </c>
      <c r="B161" s="22" t="s">
        <v>56</v>
      </c>
      <c r="C161" s="84">
        <v>25</v>
      </c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7"/>
      <c r="V161" s="83"/>
      <c r="W161" s="86"/>
      <c r="X161" s="87"/>
      <c r="Y161" s="83"/>
      <c r="Z161" s="86"/>
      <c r="AA161" s="86"/>
      <c r="AB161" s="86"/>
      <c r="AC161" s="86"/>
      <c r="AD161" s="87"/>
      <c r="AE161" s="83"/>
    </row>
    <row r="162" spans="1:31" ht="129.75" thickBot="1">
      <c r="A162" s="83" t="s">
        <v>32</v>
      </c>
      <c r="B162" s="22" t="s">
        <v>58</v>
      </c>
      <c r="C162" s="84"/>
      <c r="D162" s="86">
        <v>50</v>
      </c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7"/>
      <c r="AE162" s="83"/>
    </row>
    <row r="163" spans="1:31" ht="65.25" thickBot="1">
      <c r="A163" s="83"/>
      <c r="B163" s="22" t="s">
        <v>6</v>
      </c>
      <c r="C163" s="84">
        <f aca="true" t="shared" si="26" ref="C163:AE163">SUM(C157:C162)</f>
        <v>25</v>
      </c>
      <c r="D163" s="84">
        <f t="shared" si="26"/>
        <v>50</v>
      </c>
      <c r="E163" s="84">
        <f t="shared" si="26"/>
        <v>1.8</v>
      </c>
      <c r="F163" s="84">
        <f t="shared" si="26"/>
        <v>0</v>
      </c>
      <c r="G163" s="84">
        <f t="shared" si="26"/>
        <v>4</v>
      </c>
      <c r="H163" s="84">
        <f t="shared" si="26"/>
        <v>0</v>
      </c>
      <c r="I163" s="84">
        <f t="shared" si="26"/>
        <v>60</v>
      </c>
      <c r="J163" s="84">
        <f t="shared" si="26"/>
        <v>271.1</v>
      </c>
      <c r="K163" s="84">
        <f t="shared" si="26"/>
        <v>0</v>
      </c>
      <c r="L163" s="84">
        <f t="shared" si="26"/>
        <v>0</v>
      </c>
      <c r="M163" s="84">
        <f t="shared" si="26"/>
        <v>0</v>
      </c>
      <c r="N163" s="84">
        <f t="shared" si="26"/>
        <v>20</v>
      </c>
      <c r="O163" s="84">
        <f t="shared" si="26"/>
        <v>0</v>
      </c>
      <c r="P163" s="84">
        <f t="shared" si="26"/>
        <v>17</v>
      </c>
      <c r="Q163" s="84">
        <f t="shared" si="26"/>
        <v>3</v>
      </c>
      <c r="R163" s="84">
        <f t="shared" si="26"/>
        <v>9</v>
      </c>
      <c r="S163" s="84">
        <f t="shared" si="26"/>
        <v>0</v>
      </c>
      <c r="T163" s="84">
        <f t="shared" si="26"/>
        <v>0</v>
      </c>
      <c r="U163" s="84">
        <f t="shared" si="26"/>
        <v>0</v>
      </c>
      <c r="V163" s="84">
        <f t="shared" si="26"/>
        <v>0</v>
      </c>
      <c r="W163" s="84">
        <f t="shared" si="26"/>
        <v>111</v>
      </c>
      <c r="X163" s="84">
        <f t="shared" si="26"/>
        <v>0</v>
      </c>
      <c r="Y163" s="84">
        <f t="shared" si="26"/>
        <v>0</v>
      </c>
      <c r="Z163" s="84">
        <f t="shared" si="26"/>
        <v>8</v>
      </c>
      <c r="AA163" s="84">
        <f t="shared" si="26"/>
        <v>0</v>
      </c>
      <c r="AB163" s="84">
        <f t="shared" si="26"/>
        <v>0</v>
      </c>
      <c r="AC163" s="84">
        <f t="shared" si="26"/>
        <v>0</v>
      </c>
      <c r="AD163" s="88">
        <f t="shared" si="26"/>
        <v>0</v>
      </c>
      <c r="AE163" s="84">
        <f t="shared" si="26"/>
        <v>0</v>
      </c>
    </row>
    <row r="164" spans="1:31" ht="65.25" thickBot="1">
      <c r="A164" s="150" t="s">
        <v>145</v>
      </c>
      <c r="B164" s="151"/>
      <c r="C164" s="151"/>
      <c r="D164" s="151"/>
      <c r="E164" s="151"/>
      <c r="F164" s="151"/>
      <c r="G164" s="151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  <c r="W164" s="151"/>
      <c r="X164" s="151"/>
      <c r="Y164" s="151"/>
      <c r="Z164" s="151"/>
      <c r="AA164" s="151"/>
      <c r="AB164" s="151"/>
      <c r="AC164" s="151"/>
      <c r="AD164" s="151"/>
      <c r="AE164" s="152"/>
    </row>
    <row r="165" spans="1:31" ht="129.75" thickBot="1">
      <c r="A165" s="92">
        <v>21.1</v>
      </c>
      <c r="B165" s="27" t="s">
        <v>172</v>
      </c>
      <c r="C165" s="83"/>
      <c r="D165" s="86"/>
      <c r="E165" s="83"/>
      <c r="F165" s="83"/>
      <c r="G165" s="83"/>
      <c r="H165" s="86"/>
      <c r="I165" s="86"/>
      <c r="J165" s="86"/>
      <c r="K165" s="86"/>
      <c r="L165" s="86"/>
      <c r="M165" s="86"/>
      <c r="N165" s="86"/>
      <c r="O165" s="87"/>
      <c r="P165" s="84"/>
      <c r="Q165" s="87"/>
      <c r="R165" s="84"/>
      <c r="S165" s="87"/>
      <c r="T165" s="84">
        <v>185</v>
      </c>
      <c r="U165" s="87"/>
      <c r="V165" s="84"/>
      <c r="W165" s="84"/>
      <c r="X165" s="87"/>
      <c r="Y165" s="84"/>
      <c r="Z165" s="84"/>
      <c r="AA165" s="87"/>
      <c r="AB165" s="84"/>
      <c r="AC165" s="87"/>
      <c r="AD165" s="88"/>
      <c r="AE165" s="83"/>
    </row>
    <row r="166" spans="1:31" ht="194.25" thickBot="1">
      <c r="A166" s="83">
        <v>24</v>
      </c>
      <c r="B166" s="22" t="s">
        <v>105</v>
      </c>
      <c r="C166" s="84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>
        <v>75</v>
      </c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7"/>
      <c r="AE166" s="83"/>
    </row>
    <row r="167" spans="1:31" ht="65.25" thickBot="1">
      <c r="A167" s="84"/>
      <c r="B167" s="22" t="s">
        <v>29</v>
      </c>
      <c r="C167" s="84">
        <f>C165+C166</f>
        <v>0</v>
      </c>
      <c r="D167" s="84">
        <f aca="true" t="shared" si="27" ref="D167:AE167">D165+D166</f>
        <v>0</v>
      </c>
      <c r="E167" s="84">
        <f t="shared" si="27"/>
        <v>0</v>
      </c>
      <c r="F167" s="84">
        <f t="shared" si="27"/>
        <v>0</v>
      </c>
      <c r="G167" s="84">
        <f t="shared" si="27"/>
        <v>0</v>
      </c>
      <c r="H167" s="84">
        <f t="shared" si="27"/>
        <v>0</v>
      </c>
      <c r="I167" s="84">
        <f t="shared" si="27"/>
        <v>0</v>
      </c>
      <c r="J167" s="84">
        <f t="shared" si="27"/>
        <v>0</v>
      </c>
      <c r="K167" s="84">
        <f t="shared" si="27"/>
        <v>0</v>
      </c>
      <c r="L167" s="84">
        <f t="shared" si="27"/>
        <v>0</v>
      </c>
      <c r="M167" s="84">
        <f t="shared" si="27"/>
        <v>0</v>
      </c>
      <c r="N167" s="84">
        <f t="shared" si="27"/>
        <v>0</v>
      </c>
      <c r="O167" s="84">
        <f t="shared" si="27"/>
        <v>75</v>
      </c>
      <c r="P167" s="84">
        <f t="shared" si="27"/>
        <v>0</v>
      </c>
      <c r="Q167" s="84">
        <f t="shared" si="27"/>
        <v>0</v>
      </c>
      <c r="R167" s="84">
        <f t="shared" si="27"/>
        <v>0</v>
      </c>
      <c r="S167" s="84">
        <f t="shared" si="27"/>
        <v>0</v>
      </c>
      <c r="T167" s="84">
        <f t="shared" si="27"/>
        <v>185</v>
      </c>
      <c r="U167" s="84">
        <f t="shared" si="27"/>
        <v>0</v>
      </c>
      <c r="V167" s="84">
        <f t="shared" si="27"/>
        <v>0</v>
      </c>
      <c r="W167" s="84">
        <f t="shared" si="27"/>
        <v>0</v>
      </c>
      <c r="X167" s="84">
        <f t="shared" si="27"/>
        <v>0</v>
      </c>
      <c r="Y167" s="84">
        <f t="shared" si="27"/>
        <v>0</v>
      </c>
      <c r="Z167" s="84">
        <f t="shared" si="27"/>
        <v>0</v>
      </c>
      <c r="AA167" s="84">
        <f t="shared" si="27"/>
        <v>0</v>
      </c>
      <c r="AB167" s="84">
        <f t="shared" si="27"/>
        <v>0</v>
      </c>
      <c r="AC167" s="84">
        <f t="shared" si="27"/>
        <v>0</v>
      </c>
      <c r="AD167" s="84">
        <f t="shared" si="27"/>
        <v>0</v>
      </c>
      <c r="AE167" s="84">
        <f t="shared" si="27"/>
        <v>0</v>
      </c>
    </row>
    <row r="168" spans="1:31" ht="65.25" thickBot="1">
      <c r="A168" s="155" t="s">
        <v>144</v>
      </c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  <c r="AE168" s="157"/>
    </row>
    <row r="169" spans="1:31" ht="129.75" thickBot="1">
      <c r="A169" s="94">
        <v>49</v>
      </c>
      <c r="B169" s="75" t="s">
        <v>166</v>
      </c>
      <c r="C169" s="95"/>
      <c r="D169" s="96"/>
      <c r="E169" s="96"/>
      <c r="F169" s="96"/>
      <c r="G169" s="96">
        <v>15</v>
      </c>
      <c r="H169" s="96"/>
      <c r="I169" s="106"/>
      <c r="J169" s="106"/>
      <c r="K169" s="106"/>
      <c r="L169" s="106"/>
      <c r="M169" s="106"/>
      <c r="N169" s="106"/>
      <c r="O169" s="106"/>
      <c r="P169" s="106">
        <v>15</v>
      </c>
      <c r="Q169" s="106">
        <v>5</v>
      </c>
      <c r="R169" s="106"/>
      <c r="S169" s="106">
        <v>18</v>
      </c>
      <c r="T169" s="106">
        <v>35</v>
      </c>
      <c r="U169" s="106">
        <v>171</v>
      </c>
      <c r="V169" s="106"/>
      <c r="W169" s="106"/>
      <c r="X169" s="106"/>
      <c r="Y169" s="106"/>
      <c r="Z169" s="106"/>
      <c r="AA169" s="106"/>
      <c r="AB169" s="106"/>
      <c r="AC169" s="106"/>
      <c r="AD169" s="107"/>
      <c r="AE169" s="95"/>
    </row>
    <row r="170" spans="1:31" ht="65.25" thickBot="1">
      <c r="A170" s="84">
        <v>13</v>
      </c>
      <c r="B170" s="23" t="s">
        <v>7</v>
      </c>
      <c r="C170" s="84"/>
      <c r="D170" s="85"/>
      <c r="E170" s="85"/>
      <c r="F170" s="85"/>
      <c r="G170" s="85"/>
      <c r="H170" s="86"/>
      <c r="I170" s="86"/>
      <c r="J170" s="86"/>
      <c r="K170" s="86"/>
      <c r="L170" s="86"/>
      <c r="M170" s="86"/>
      <c r="N170" s="86"/>
      <c r="O170" s="87"/>
      <c r="P170" s="84">
        <v>12</v>
      </c>
      <c r="Q170" s="87"/>
      <c r="R170" s="84"/>
      <c r="S170" s="87"/>
      <c r="T170" s="84"/>
      <c r="U170" s="84"/>
      <c r="V170" s="87"/>
      <c r="W170" s="84"/>
      <c r="X170" s="87"/>
      <c r="Y170" s="84"/>
      <c r="Z170" s="84"/>
      <c r="AA170" s="87"/>
      <c r="AB170" s="84">
        <v>0.58</v>
      </c>
      <c r="AC170" s="84"/>
      <c r="AD170" s="87"/>
      <c r="AE170" s="83"/>
    </row>
    <row r="171" spans="1:31" ht="129.75" thickBot="1">
      <c r="A171" s="83">
        <v>69</v>
      </c>
      <c r="B171" s="22" t="s">
        <v>106</v>
      </c>
      <c r="C171" s="84"/>
      <c r="D171" s="86"/>
      <c r="E171" s="86"/>
      <c r="F171" s="86"/>
      <c r="G171" s="86"/>
      <c r="H171" s="86"/>
      <c r="I171" s="86"/>
      <c r="J171" s="86"/>
      <c r="K171" s="86"/>
      <c r="L171" s="86"/>
      <c r="M171" s="86">
        <v>85</v>
      </c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7"/>
      <c r="AE171" s="84"/>
    </row>
    <row r="172" spans="1:31" ht="65.25" thickBot="1">
      <c r="A172" s="83"/>
      <c r="B172" s="22" t="s">
        <v>6</v>
      </c>
      <c r="C172" s="84">
        <f aca="true" t="shared" si="28" ref="C172:AE172">SUM(C169:C171)</f>
        <v>0</v>
      </c>
      <c r="D172" s="84">
        <f t="shared" si="28"/>
        <v>0</v>
      </c>
      <c r="E172" s="84">
        <f t="shared" si="28"/>
        <v>0</v>
      </c>
      <c r="F172" s="84">
        <f t="shared" si="28"/>
        <v>0</v>
      </c>
      <c r="G172" s="84">
        <f t="shared" si="28"/>
        <v>15</v>
      </c>
      <c r="H172" s="84">
        <f t="shared" si="28"/>
        <v>0</v>
      </c>
      <c r="I172" s="84">
        <f t="shared" si="28"/>
        <v>0</v>
      </c>
      <c r="J172" s="84">
        <f t="shared" si="28"/>
        <v>0</v>
      </c>
      <c r="K172" s="84">
        <f t="shared" si="28"/>
        <v>0</v>
      </c>
      <c r="L172" s="84">
        <f t="shared" si="28"/>
        <v>0</v>
      </c>
      <c r="M172" s="84">
        <f t="shared" si="28"/>
        <v>85</v>
      </c>
      <c r="N172" s="84">
        <f t="shared" si="28"/>
        <v>0</v>
      </c>
      <c r="O172" s="84">
        <f t="shared" si="28"/>
        <v>0</v>
      </c>
      <c r="P172" s="84">
        <f t="shared" si="28"/>
        <v>27</v>
      </c>
      <c r="Q172" s="84">
        <f t="shared" si="28"/>
        <v>5</v>
      </c>
      <c r="R172" s="84">
        <f t="shared" si="28"/>
        <v>0</v>
      </c>
      <c r="S172" s="84">
        <f t="shared" si="28"/>
        <v>18</v>
      </c>
      <c r="T172" s="84">
        <f t="shared" si="28"/>
        <v>35</v>
      </c>
      <c r="U172" s="84">
        <f t="shared" si="28"/>
        <v>171</v>
      </c>
      <c r="V172" s="84">
        <f t="shared" si="28"/>
        <v>0</v>
      </c>
      <c r="W172" s="84">
        <f t="shared" si="28"/>
        <v>0</v>
      </c>
      <c r="X172" s="84">
        <f t="shared" si="28"/>
        <v>0</v>
      </c>
      <c r="Y172" s="84">
        <f t="shared" si="28"/>
        <v>0</v>
      </c>
      <c r="Z172" s="84">
        <f t="shared" si="28"/>
        <v>0</v>
      </c>
      <c r="AA172" s="84">
        <f t="shared" si="28"/>
        <v>0</v>
      </c>
      <c r="AB172" s="84">
        <f t="shared" si="28"/>
        <v>0.58</v>
      </c>
      <c r="AC172" s="84">
        <f t="shared" si="28"/>
        <v>0</v>
      </c>
      <c r="AD172" s="84">
        <f t="shared" si="28"/>
        <v>0</v>
      </c>
      <c r="AE172" s="84">
        <f t="shared" si="28"/>
        <v>0</v>
      </c>
    </row>
    <row r="173" spans="1:31" ht="194.25" thickBot="1">
      <c r="A173" s="145"/>
      <c r="B173" s="22" t="s">
        <v>150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8"/>
      <c r="AE173" s="84"/>
    </row>
    <row r="174" spans="1:31" ht="65.25" thickBot="1">
      <c r="A174" s="83"/>
      <c r="B174" s="93" t="s">
        <v>10</v>
      </c>
      <c r="C174" s="84">
        <f aca="true" t="shared" si="29" ref="C174:AE174">C152+C155+C163+C167+C172</f>
        <v>50</v>
      </c>
      <c r="D174" s="84">
        <f t="shared" si="29"/>
        <v>50</v>
      </c>
      <c r="E174" s="84">
        <f t="shared" si="29"/>
        <v>1.8</v>
      </c>
      <c r="F174" s="84">
        <f t="shared" si="29"/>
        <v>0</v>
      </c>
      <c r="G174" s="84">
        <f t="shared" si="29"/>
        <v>37</v>
      </c>
      <c r="H174" s="84">
        <f t="shared" si="29"/>
        <v>0</v>
      </c>
      <c r="I174" s="84">
        <f t="shared" si="29"/>
        <v>60</v>
      </c>
      <c r="J174" s="84">
        <f t="shared" si="29"/>
        <v>271.1</v>
      </c>
      <c r="K174" s="84">
        <f t="shared" si="29"/>
        <v>150</v>
      </c>
      <c r="L174" s="84">
        <f t="shared" si="29"/>
        <v>0</v>
      </c>
      <c r="M174" s="84">
        <f t="shared" si="29"/>
        <v>85</v>
      </c>
      <c r="N174" s="84">
        <f t="shared" si="29"/>
        <v>20</v>
      </c>
      <c r="O174" s="84">
        <f t="shared" si="29"/>
        <v>75</v>
      </c>
      <c r="P174" s="84">
        <f t="shared" si="29"/>
        <v>60</v>
      </c>
      <c r="Q174" s="84">
        <f t="shared" si="29"/>
        <v>15</v>
      </c>
      <c r="R174" s="84">
        <f t="shared" si="29"/>
        <v>9</v>
      </c>
      <c r="S174" s="84">
        <f t="shared" si="29"/>
        <v>18</v>
      </c>
      <c r="T174" s="84">
        <f t="shared" si="29"/>
        <v>456</v>
      </c>
      <c r="U174" s="84">
        <f t="shared" si="29"/>
        <v>171</v>
      </c>
      <c r="V174" s="84">
        <f t="shared" si="29"/>
        <v>0</v>
      </c>
      <c r="W174" s="84">
        <f t="shared" si="29"/>
        <v>111</v>
      </c>
      <c r="X174" s="84">
        <f t="shared" si="29"/>
        <v>0</v>
      </c>
      <c r="Y174" s="84">
        <f t="shared" si="29"/>
        <v>0</v>
      </c>
      <c r="Z174" s="84">
        <f t="shared" si="29"/>
        <v>8</v>
      </c>
      <c r="AA174" s="84">
        <f t="shared" si="29"/>
        <v>13</v>
      </c>
      <c r="AB174" s="84">
        <f t="shared" si="29"/>
        <v>0.58</v>
      </c>
      <c r="AC174" s="84">
        <f t="shared" si="29"/>
        <v>0</v>
      </c>
      <c r="AD174" s="84">
        <f t="shared" si="29"/>
        <v>1.3</v>
      </c>
      <c r="AE174" s="84">
        <f t="shared" si="29"/>
        <v>0</v>
      </c>
    </row>
    <row r="175" spans="1:31" ht="65.25" thickBot="1">
      <c r="A175" s="150" t="s">
        <v>40</v>
      </c>
      <c r="B175" s="151"/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  <c r="W175" s="151"/>
      <c r="X175" s="151"/>
      <c r="Y175" s="151"/>
      <c r="Z175" s="151"/>
      <c r="AA175" s="151"/>
      <c r="AB175" s="151"/>
      <c r="AC175" s="151"/>
      <c r="AD175" s="151"/>
      <c r="AE175" s="152"/>
    </row>
    <row r="176" spans="1:31" ht="65.25" thickBot="1">
      <c r="A176" s="150" t="s">
        <v>17</v>
      </c>
      <c r="B176" s="151"/>
      <c r="C176" s="151"/>
      <c r="D176" s="151"/>
      <c r="E176" s="151"/>
      <c r="F176" s="151"/>
      <c r="G176" s="151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  <c r="W176" s="151"/>
      <c r="X176" s="151"/>
      <c r="Y176" s="151"/>
      <c r="Z176" s="151"/>
      <c r="AA176" s="151"/>
      <c r="AB176" s="151"/>
      <c r="AC176" s="151"/>
      <c r="AD176" s="151"/>
      <c r="AE176" s="152"/>
    </row>
    <row r="177" spans="1:31" ht="45.75" customHeight="1">
      <c r="A177" s="166" t="s">
        <v>30</v>
      </c>
      <c r="B177" s="168" t="s">
        <v>23</v>
      </c>
      <c r="C177" s="153" t="s">
        <v>116</v>
      </c>
      <c r="D177" s="153" t="s">
        <v>117</v>
      </c>
      <c r="E177" s="153" t="s">
        <v>130</v>
      </c>
      <c r="F177" s="153" t="s">
        <v>119</v>
      </c>
      <c r="G177" s="153" t="s">
        <v>131</v>
      </c>
      <c r="H177" s="153" t="s">
        <v>132</v>
      </c>
      <c r="I177" s="153" t="s">
        <v>110</v>
      </c>
      <c r="J177" s="153" t="s">
        <v>257</v>
      </c>
      <c r="K177" s="140"/>
      <c r="L177" s="140"/>
      <c r="M177" s="153" t="s">
        <v>142</v>
      </c>
      <c r="N177" s="153" t="s">
        <v>79</v>
      </c>
      <c r="O177" s="153" t="s">
        <v>139</v>
      </c>
      <c r="P177" s="153" t="s">
        <v>80</v>
      </c>
      <c r="Q177" s="153" t="s">
        <v>124</v>
      </c>
      <c r="R177" s="153" t="s">
        <v>81</v>
      </c>
      <c r="S177" s="153" t="s">
        <v>134</v>
      </c>
      <c r="T177" s="153" t="s">
        <v>135</v>
      </c>
      <c r="U177" s="153" t="s">
        <v>136</v>
      </c>
      <c r="V177" s="140"/>
      <c r="W177" s="153" t="s">
        <v>113</v>
      </c>
      <c r="X177" s="153" t="s">
        <v>129</v>
      </c>
      <c r="Y177" s="153" t="s">
        <v>84</v>
      </c>
      <c r="Z177" s="153" t="s">
        <v>82</v>
      </c>
      <c r="AA177" s="153" t="s">
        <v>83</v>
      </c>
      <c r="AB177" s="153" t="s">
        <v>85</v>
      </c>
      <c r="AC177" s="140"/>
      <c r="AD177" s="158" t="s">
        <v>78</v>
      </c>
      <c r="AE177" s="153" t="s">
        <v>137</v>
      </c>
    </row>
    <row r="178" spans="1:31" ht="409.5" customHeight="1" thickBot="1">
      <c r="A178" s="167"/>
      <c r="B178" s="169"/>
      <c r="C178" s="154"/>
      <c r="D178" s="154"/>
      <c r="E178" s="154"/>
      <c r="F178" s="154"/>
      <c r="G178" s="154"/>
      <c r="H178" s="154"/>
      <c r="I178" s="154"/>
      <c r="J178" s="154"/>
      <c r="K178" s="141" t="s">
        <v>133</v>
      </c>
      <c r="L178" s="141" t="s">
        <v>143</v>
      </c>
      <c r="M178" s="154"/>
      <c r="N178" s="154"/>
      <c r="O178" s="154"/>
      <c r="P178" s="154"/>
      <c r="Q178" s="154"/>
      <c r="R178" s="154"/>
      <c r="S178" s="154"/>
      <c r="T178" s="154"/>
      <c r="U178" s="154"/>
      <c r="V178" s="141" t="s">
        <v>140</v>
      </c>
      <c r="W178" s="154"/>
      <c r="X178" s="154"/>
      <c r="Y178" s="154"/>
      <c r="Z178" s="154"/>
      <c r="AA178" s="154"/>
      <c r="AB178" s="154"/>
      <c r="AC178" s="141" t="s">
        <v>77</v>
      </c>
      <c r="AD178" s="159"/>
      <c r="AE178" s="154"/>
    </row>
    <row r="179" spans="1:31" ht="65.25" thickBot="1">
      <c r="A179" s="145">
        <v>1</v>
      </c>
      <c r="B179" s="79">
        <v>2</v>
      </c>
      <c r="C179" s="80" t="s">
        <v>54</v>
      </c>
      <c r="D179" s="81">
        <v>4</v>
      </c>
      <c r="E179" s="80">
        <v>5</v>
      </c>
      <c r="F179" s="80">
        <v>6</v>
      </c>
      <c r="G179" s="80">
        <v>7</v>
      </c>
      <c r="H179" s="80">
        <v>8</v>
      </c>
      <c r="I179" s="80" t="s">
        <v>55</v>
      </c>
      <c r="J179" s="81">
        <v>10</v>
      </c>
      <c r="K179" s="80">
        <v>11</v>
      </c>
      <c r="L179" s="108">
        <v>12</v>
      </c>
      <c r="M179" s="80">
        <v>13</v>
      </c>
      <c r="N179" s="80">
        <v>14</v>
      </c>
      <c r="O179" s="80">
        <v>15</v>
      </c>
      <c r="P179" s="80">
        <v>16</v>
      </c>
      <c r="Q179" s="143">
        <v>17</v>
      </c>
      <c r="R179" s="80">
        <v>18</v>
      </c>
      <c r="S179" s="143">
        <v>19</v>
      </c>
      <c r="T179" s="80">
        <v>20</v>
      </c>
      <c r="U179" s="143">
        <v>21</v>
      </c>
      <c r="V179" s="143">
        <v>22</v>
      </c>
      <c r="W179" s="80">
        <v>23</v>
      </c>
      <c r="X179" s="80">
        <v>24</v>
      </c>
      <c r="Y179" s="143">
        <v>25</v>
      </c>
      <c r="Z179" s="80">
        <v>26</v>
      </c>
      <c r="AA179" s="80">
        <v>27</v>
      </c>
      <c r="AB179" s="80">
        <v>28</v>
      </c>
      <c r="AC179" s="143">
        <v>29</v>
      </c>
      <c r="AD179" s="142">
        <v>30</v>
      </c>
      <c r="AE179" s="80">
        <v>32</v>
      </c>
    </row>
    <row r="180" spans="1:31" ht="65.25" thickBot="1">
      <c r="A180" s="150" t="s">
        <v>5</v>
      </c>
      <c r="B180" s="151"/>
      <c r="C180" s="151"/>
      <c r="D180" s="151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  <c r="W180" s="151"/>
      <c r="X180" s="151"/>
      <c r="Y180" s="151"/>
      <c r="Z180" s="151"/>
      <c r="AA180" s="151"/>
      <c r="AB180" s="151"/>
      <c r="AC180" s="151"/>
      <c r="AD180" s="151"/>
      <c r="AE180" s="152"/>
    </row>
    <row r="181" spans="1:31" ht="65.25" thickBot="1">
      <c r="A181" s="83">
        <v>43</v>
      </c>
      <c r="B181" s="22" t="s">
        <v>165</v>
      </c>
      <c r="C181" s="84"/>
      <c r="D181" s="86"/>
      <c r="E181" s="86"/>
      <c r="F181" s="86"/>
      <c r="G181" s="86">
        <v>68</v>
      </c>
      <c r="H181" s="86"/>
      <c r="I181" s="86"/>
      <c r="J181" s="86"/>
      <c r="K181" s="86"/>
      <c r="L181" s="86"/>
      <c r="M181" s="86"/>
      <c r="N181" s="86"/>
      <c r="O181" s="87"/>
      <c r="P181" s="83"/>
      <c r="Q181" s="87">
        <v>7</v>
      </c>
      <c r="R181" s="83"/>
      <c r="S181" s="87"/>
      <c r="T181" s="83"/>
      <c r="U181" s="87"/>
      <c r="V181" s="84"/>
      <c r="W181" s="83"/>
      <c r="X181" s="87"/>
      <c r="Y181" s="84"/>
      <c r="Z181" s="83"/>
      <c r="AA181" s="87"/>
      <c r="AB181" s="83"/>
      <c r="AC181" s="87"/>
      <c r="AD181" s="88"/>
      <c r="AE181" s="80"/>
    </row>
    <row r="182" spans="1:31" ht="65.25" thickBot="1">
      <c r="A182" s="84">
        <v>41</v>
      </c>
      <c r="B182" s="22" t="s">
        <v>101</v>
      </c>
      <c r="C182" s="84"/>
      <c r="D182" s="86"/>
      <c r="E182" s="86"/>
      <c r="F182" s="86"/>
      <c r="G182" s="86"/>
      <c r="H182" s="86"/>
      <c r="I182" s="86"/>
      <c r="J182" s="86">
        <v>63</v>
      </c>
      <c r="K182" s="86"/>
      <c r="L182" s="86"/>
      <c r="M182" s="86"/>
      <c r="N182" s="87"/>
      <c r="O182" s="83"/>
      <c r="P182" s="83"/>
      <c r="Q182" s="87"/>
      <c r="R182" s="83"/>
      <c r="S182" s="83"/>
      <c r="T182" s="87"/>
      <c r="U182" s="84"/>
      <c r="V182" s="83"/>
      <c r="W182" s="87"/>
      <c r="X182" s="84"/>
      <c r="Y182" s="83"/>
      <c r="Z182" s="87"/>
      <c r="AA182" s="83"/>
      <c r="AB182" s="84"/>
      <c r="AC182" s="87"/>
      <c r="AD182" s="90"/>
      <c r="AE182" s="83"/>
    </row>
    <row r="183" spans="1:31" ht="65.25" thickBot="1">
      <c r="A183" s="84">
        <v>13</v>
      </c>
      <c r="B183" s="23" t="s">
        <v>7</v>
      </c>
      <c r="C183" s="84"/>
      <c r="D183" s="85"/>
      <c r="E183" s="85"/>
      <c r="F183" s="85"/>
      <c r="G183" s="85"/>
      <c r="H183" s="86"/>
      <c r="I183" s="86"/>
      <c r="J183" s="86"/>
      <c r="K183" s="86"/>
      <c r="L183" s="86"/>
      <c r="M183" s="86"/>
      <c r="N183" s="86"/>
      <c r="O183" s="87"/>
      <c r="P183" s="84">
        <v>12</v>
      </c>
      <c r="Q183" s="87"/>
      <c r="R183" s="84"/>
      <c r="S183" s="87"/>
      <c r="T183" s="84"/>
      <c r="U183" s="84"/>
      <c r="V183" s="87"/>
      <c r="W183" s="84"/>
      <c r="X183" s="87"/>
      <c r="Y183" s="84"/>
      <c r="Z183" s="84"/>
      <c r="AA183" s="87"/>
      <c r="AB183" s="84">
        <v>0.58</v>
      </c>
      <c r="AC183" s="84"/>
      <c r="AD183" s="87"/>
      <c r="AE183" s="83"/>
    </row>
    <row r="184" spans="1:31" ht="65.25" thickBot="1">
      <c r="A184" s="83">
        <v>16</v>
      </c>
      <c r="B184" s="22" t="s">
        <v>36</v>
      </c>
      <c r="C184" s="86">
        <v>25</v>
      </c>
      <c r="D184" s="85"/>
      <c r="E184" s="85"/>
      <c r="F184" s="85"/>
      <c r="G184" s="85"/>
      <c r="H184" s="86"/>
      <c r="I184" s="86"/>
      <c r="J184" s="86"/>
      <c r="K184" s="86"/>
      <c r="L184" s="86"/>
      <c r="M184" s="86"/>
      <c r="N184" s="86"/>
      <c r="O184" s="87"/>
      <c r="P184" s="84"/>
      <c r="Q184" s="84">
        <v>5</v>
      </c>
      <c r="R184" s="84"/>
      <c r="S184" s="87"/>
      <c r="T184" s="84"/>
      <c r="U184" s="87"/>
      <c r="V184" s="83"/>
      <c r="W184" s="84"/>
      <c r="X184" s="83"/>
      <c r="Y184" s="87"/>
      <c r="Z184" s="84"/>
      <c r="AA184" s="84"/>
      <c r="AB184" s="87"/>
      <c r="AC184" s="83"/>
      <c r="AD184" s="88"/>
      <c r="AE184" s="84"/>
    </row>
    <row r="185" spans="1:31" ht="65.25" thickBot="1">
      <c r="A185" s="83"/>
      <c r="B185" s="22" t="s">
        <v>6</v>
      </c>
      <c r="C185" s="83">
        <f aca="true" t="shared" si="30" ref="C185:AE185">SUM(C181:C184)</f>
        <v>25</v>
      </c>
      <c r="D185" s="83">
        <f t="shared" si="30"/>
        <v>0</v>
      </c>
      <c r="E185" s="83">
        <f t="shared" si="30"/>
        <v>0</v>
      </c>
      <c r="F185" s="83">
        <f t="shared" si="30"/>
        <v>0</v>
      </c>
      <c r="G185" s="83">
        <f t="shared" si="30"/>
        <v>68</v>
      </c>
      <c r="H185" s="83">
        <f t="shared" si="30"/>
        <v>0</v>
      </c>
      <c r="I185" s="83">
        <f t="shared" si="30"/>
        <v>0</v>
      </c>
      <c r="J185" s="83">
        <f t="shared" si="30"/>
        <v>63</v>
      </c>
      <c r="K185" s="83">
        <f t="shared" si="30"/>
        <v>0</v>
      </c>
      <c r="L185" s="83">
        <f t="shared" si="30"/>
        <v>0</v>
      </c>
      <c r="M185" s="83">
        <f t="shared" si="30"/>
        <v>0</v>
      </c>
      <c r="N185" s="83">
        <f t="shared" si="30"/>
        <v>0</v>
      </c>
      <c r="O185" s="83">
        <f t="shared" si="30"/>
        <v>0</v>
      </c>
      <c r="P185" s="83">
        <f t="shared" si="30"/>
        <v>12</v>
      </c>
      <c r="Q185" s="83">
        <f t="shared" si="30"/>
        <v>12</v>
      </c>
      <c r="R185" s="83">
        <f t="shared" si="30"/>
        <v>0</v>
      </c>
      <c r="S185" s="83">
        <f t="shared" si="30"/>
        <v>0</v>
      </c>
      <c r="T185" s="83">
        <f t="shared" si="30"/>
        <v>0</v>
      </c>
      <c r="U185" s="83">
        <f t="shared" si="30"/>
        <v>0</v>
      </c>
      <c r="V185" s="83">
        <f t="shared" si="30"/>
        <v>0</v>
      </c>
      <c r="W185" s="83">
        <f t="shared" si="30"/>
        <v>0</v>
      </c>
      <c r="X185" s="83">
        <f t="shared" si="30"/>
        <v>0</v>
      </c>
      <c r="Y185" s="83">
        <f t="shared" si="30"/>
        <v>0</v>
      </c>
      <c r="Z185" s="83">
        <f t="shared" si="30"/>
        <v>0</v>
      </c>
      <c r="AA185" s="83">
        <f t="shared" si="30"/>
        <v>0</v>
      </c>
      <c r="AB185" s="83">
        <f t="shared" si="30"/>
        <v>0.58</v>
      </c>
      <c r="AC185" s="83">
        <f t="shared" si="30"/>
        <v>0</v>
      </c>
      <c r="AD185" s="90">
        <f t="shared" si="30"/>
        <v>0</v>
      </c>
      <c r="AE185" s="83">
        <f t="shared" si="30"/>
        <v>0</v>
      </c>
    </row>
    <row r="186" spans="1:31" ht="65.25" thickBot="1">
      <c r="A186" s="155" t="s">
        <v>53</v>
      </c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  <c r="AE186" s="157"/>
    </row>
    <row r="187" spans="1:31" ht="65.25" thickBot="1">
      <c r="A187" s="83" t="s">
        <v>32</v>
      </c>
      <c r="B187" s="25" t="s">
        <v>182</v>
      </c>
      <c r="C187" s="84"/>
      <c r="D187" s="86"/>
      <c r="E187" s="86"/>
      <c r="F187" s="86"/>
      <c r="G187" s="86"/>
      <c r="H187" s="86"/>
      <c r="I187" s="86"/>
      <c r="J187" s="86"/>
      <c r="K187" s="86">
        <v>150</v>
      </c>
      <c r="L187" s="86"/>
      <c r="M187" s="86"/>
      <c r="N187" s="86"/>
      <c r="O187" s="87"/>
      <c r="P187" s="84"/>
      <c r="Q187" s="87"/>
      <c r="R187" s="84"/>
      <c r="S187" s="87"/>
      <c r="T187" s="84"/>
      <c r="U187" s="87"/>
      <c r="V187" s="84"/>
      <c r="W187" s="84"/>
      <c r="X187" s="87"/>
      <c r="Y187" s="84"/>
      <c r="Z187" s="84"/>
      <c r="AA187" s="87"/>
      <c r="AB187" s="84"/>
      <c r="AC187" s="87"/>
      <c r="AD187" s="88"/>
      <c r="AE187" s="83"/>
    </row>
    <row r="188" spans="1:31" ht="65.25" thickBot="1">
      <c r="A188" s="83"/>
      <c r="B188" s="22" t="s">
        <v>29</v>
      </c>
      <c r="C188" s="86">
        <f>SUM(C187)</f>
        <v>0</v>
      </c>
      <c r="D188" s="86">
        <f>SUM(D187)</f>
        <v>0</v>
      </c>
      <c r="E188" s="86">
        <f aca="true" t="shared" si="31" ref="E188:AD188">SUM(E187)</f>
        <v>0</v>
      </c>
      <c r="F188" s="86">
        <f t="shared" si="31"/>
        <v>0</v>
      </c>
      <c r="G188" s="86">
        <f t="shared" si="31"/>
        <v>0</v>
      </c>
      <c r="H188" s="86">
        <f t="shared" si="31"/>
        <v>0</v>
      </c>
      <c r="I188" s="86">
        <f t="shared" si="31"/>
        <v>0</v>
      </c>
      <c r="J188" s="86">
        <f t="shared" si="31"/>
        <v>0</v>
      </c>
      <c r="K188" s="86">
        <f t="shared" si="31"/>
        <v>150</v>
      </c>
      <c r="L188" s="86">
        <f t="shared" si="31"/>
        <v>0</v>
      </c>
      <c r="M188" s="86">
        <f t="shared" si="31"/>
        <v>0</v>
      </c>
      <c r="N188" s="86">
        <f t="shared" si="31"/>
        <v>0</v>
      </c>
      <c r="O188" s="86">
        <f t="shared" si="31"/>
        <v>0</v>
      </c>
      <c r="P188" s="86">
        <f t="shared" si="31"/>
        <v>0</v>
      </c>
      <c r="Q188" s="86">
        <f t="shared" si="31"/>
        <v>0</v>
      </c>
      <c r="R188" s="86">
        <f t="shared" si="31"/>
        <v>0</v>
      </c>
      <c r="S188" s="86">
        <f t="shared" si="31"/>
        <v>0</v>
      </c>
      <c r="T188" s="86">
        <f t="shared" si="31"/>
        <v>0</v>
      </c>
      <c r="U188" s="86">
        <f t="shared" si="31"/>
        <v>0</v>
      </c>
      <c r="V188" s="86">
        <f t="shared" si="31"/>
        <v>0</v>
      </c>
      <c r="W188" s="86">
        <f t="shared" si="31"/>
        <v>0</v>
      </c>
      <c r="X188" s="86">
        <f t="shared" si="31"/>
        <v>0</v>
      </c>
      <c r="Y188" s="86">
        <f t="shared" si="31"/>
        <v>0</v>
      </c>
      <c r="Z188" s="86">
        <f t="shared" si="31"/>
        <v>0</v>
      </c>
      <c r="AA188" s="86">
        <f t="shared" si="31"/>
        <v>0</v>
      </c>
      <c r="AB188" s="86">
        <f t="shared" si="31"/>
        <v>0</v>
      </c>
      <c r="AC188" s="86">
        <f t="shared" si="31"/>
        <v>0</v>
      </c>
      <c r="AD188" s="87">
        <f t="shared" si="31"/>
        <v>0</v>
      </c>
      <c r="AE188" s="83">
        <f>SUM(AE187)</f>
        <v>0</v>
      </c>
    </row>
    <row r="189" spans="1:31" ht="65.25" thickBot="1">
      <c r="A189" s="155" t="s">
        <v>31</v>
      </c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7"/>
    </row>
    <row r="190" spans="1:31" ht="129.75" thickBot="1">
      <c r="A190" s="84">
        <v>12</v>
      </c>
      <c r="B190" s="22" t="s">
        <v>227</v>
      </c>
      <c r="C190" s="84"/>
      <c r="D190" s="86"/>
      <c r="E190" s="86"/>
      <c r="F190" s="86"/>
      <c r="G190" s="86"/>
      <c r="H190" s="86"/>
      <c r="I190" s="86"/>
      <c r="J190" s="86">
        <v>59.9</v>
      </c>
      <c r="K190" s="86"/>
      <c r="L190" s="86"/>
      <c r="M190" s="86"/>
      <c r="N190" s="86"/>
      <c r="O190" s="87"/>
      <c r="P190" s="83">
        <v>2</v>
      </c>
      <c r="Q190" s="87"/>
      <c r="R190" s="83">
        <v>6</v>
      </c>
      <c r="S190" s="87"/>
      <c r="T190" s="83"/>
      <c r="U190" s="87"/>
      <c r="V190" s="84"/>
      <c r="W190" s="83"/>
      <c r="X190" s="87"/>
      <c r="Y190" s="84"/>
      <c r="Z190" s="83"/>
      <c r="AA190" s="87"/>
      <c r="AB190" s="83"/>
      <c r="AC190" s="84"/>
      <c r="AD190" s="87"/>
      <c r="AE190" s="80"/>
    </row>
    <row r="191" spans="1:31" ht="129.75" thickBot="1">
      <c r="A191" s="83">
        <v>47</v>
      </c>
      <c r="B191" s="22" t="s">
        <v>75</v>
      </c>
      <c r="C191" s="84"/>
      <c r="D191" s="86"/>
      <c r="E191" s="86"/>
      <c r="F191" s="86"/>
      <c r="G191" s="86">
        <v>17</v>
      </c>
      <c r="H191" s="86"/>
      <c r="I191" s="86">
        <v>40</v>
      </c>
      <c r="J191" s="86">
        <v>22</v>
      </c>
      <c r="K191" s="86"/>
      <c r="L191" s="86"/>
      <c r="M191" s="86"/>
      <c r="N191" s="86"/>
      <c r="O191" s="87"/>
      <c r="P191" s="83"/>
      <c r="Q191" s="87">
        <v>3</v>
      </c>
      <c r="R191" s="83"/>
      <c r="S191" s="87"/>
      <c r="T191" s="83"/>
      <c r="U191" s="87"/>
      <c r="V191" s="83"/>
      <c r="W191" s="83">
        <v>13</v>
      </c>
      <c r="X191" s="86"/>
      <c r="Y191" s="83"/>
      <c r="Z191" s="83"/>
      <c r="AA191" s="87"/>
      <c r="AB191" s="83"/>
      <c r="AC191" s="83"/>
      <c r="AD191" s="87"/>
      <c r="AE191" s="83"/>
    </row>
    <row r="192" spans="1:31" ht="65.25" thickBot="1">
      <c r="A192" s="83">
        <v>80</v>
      </c>
      <c r="B192" s="22" t="s">
        <v>173</v>
      </c>
      <c r="C192" s="86"/>
      <c r="D192" s="86"/>
      <c r="E192" s="86">
        <v>1.3</v>
      </c>
      <c r="F192" s="86"/>
      <c r="G192" s="86"/>
      <c r="H192" s="86"/>
      <c r="I192" s="86"/>
      <c r="J192" s="86">
        <v>18</v>
      </c>
      <c r="K192" s="86"/>
      <c r="L192" s="86"/>
      <c r="M192" s="86"/>
      <c r="N192" s="86"/>
      <c r="O192" s="86"/>
      <c r="P192" s="86"/>
      <c r="Q192" s="86">
        <v>0.8</v>
      </c>
      <c r="R192" s="86">
        <v>2</v>
      </c>
      <c r="S192" s="86"/>
      <c r="T192" s="86"/>
      <c r="U192" s="86"/>
      <c r="V192" s="86"/>
      <c r="W192" s="86">
        <v>113</v>
      </c>
      <c r="X192" s="86"/>
      <c r="Y192" s="86"/>
      <c r="Z192" s="86">
        <v>10</v>
      </c>
      <c r="AA192" s="86"/>
      <c r="AB192" s="86"/>
      <c r="AC192" s="86"/>
      <c r="AD192" s="87"/>
      <c r="AE192" s="83"/>
    </row>
    <row r="193" spans="1:31" ht="129.75" thickBot="1">
      <c r="A193" s="94">
        <v>42</v>
      </c>
      <c r="B193" s="75" t="s">
        <v>152</v>
      </c>
      <c r="C193" s="95"/>
      <c r="D193" s="96"/>
      <c r="E193" s="96"/>
      <c r="F193" s="96"/>
      <c r="G193" s="96"/>
      <c r="H193" s="96">
        <v>50</v>
      </c>
      <c r="I193" s="96"/>
      <c r="J193" s="96"/>
      <c r="K193" s="96"/>
      <c r="L193" s="96"/>
      <c r="M193" s="96"/>
      <c r="N193" s="96"/>
      <c r="O193" s="96"/>
      <c r="P193" s="96"/>
      <c r="Q193" s="96">
        <v>6</v>
      </c>
      <c r="R193" s="96"/>
      <c r="S193" s="96"/>
      <c r="T193" s="96"/>
      <c r="U193" s="96"/>
      <c r="V193" s="96"/>
      <c r="W193" s="96"/>
      <c r="X193" s="97"/>
      <c r="Y193" s="94"/>
      <c r="Z193" s="96"/>
      <c r="AA193" s="96"/>
      <c r="AB193" s="96"/>
      <c r="AC193" s="96"/>
      <c r="AD193" s="97"/>
      <c r="AE193" s="94"/>
    </row>
    <row r="194" spans="1:31" ht="65.25" thickBot="1">
      <c r="A194" s="83">
        <v>9</v>
      </c>
      <c r="B194" s="22" t="s">
        <v>43</v>
      </c>
      <c r="C194" s="84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>
        <v>18</v>
      </c>
      <c r="O194" s="87"/>
      <c r="P194" s="83">
        <v>13</v>
      </c>
      <c r="Q194" s="87"/>
      <c r="R194" s="83"/>
      <c r="S194" s="87"/>
      <c r="T194" s="83"/>
      <c r="U194" s="83"/>
      <c r="V194" s="87"/>
      <c r="W194" s="83"/>
      <c r="X194" s="87"/>
      <c r="Y194" s="83"/>
      <c r="Z194" s="83"/>
      <c r="AA194" s="87"/>
      <c r="AB194" s="83"/>
      <c r="AC194" s="87"/>
      <c r="AD194" s="90"/>
      <c r="AE194" s="83"/>
    </row>
    <row r="195" spans="1:31" ht="129.75" thickBot="1">
      <c r="A195" s="83" t="s">
        <v>32</v>
      </c>
      <c r="B195" s="22" t="s">
        <v>56</v>
      </c>
      <c r="C195" s="84">
        <v>25</v>
      </c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7"/>
      <c r="V195" s="83"/>
      <c r="W195" s="86"/>
      <c r="X195" s="87"/>
      <c r="Y195" s="83"/>
      <c r="Z195" s="86"/>
      <c r="AA195" s="86"/>
      <c r="AB195" s="86"/>
      <c r="AC195" s="86"/>
      <c r="AD195" s="87"/>
      <c r="AE195" s="83"/>
    </row>
    <row r="196" spans="1:31" ht="129.75" thickBot="1">
      <c r="A196" s="83" t="s">
        <v>32</v>
      </c>
      <c r="B196" s="22" t="s">
        <v>58</v>
      </c>
      <c r="C196" s="86"/>
      <c r="D196" s="86">
        <v>50</v>
      </c>
      <c r="E196" s="86"/>
      <c r="F196" s="86"/>
      <c r="G196" s="86"/>
      <c r="H196" s="86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91"/>
      <c r="AE196" s="84"/>
    </row>
    <row r="197" spans="1:31" ht="65.25" thickBot="1">
      <c r="A197" s="84"/>
      <c r="B197" s="25" t="s">
        <v>29</v>
      </c>
      <c r="C197" s="84">
        <f aca="true" t="shared" si="32" ref="C197:AE197">SUM(C190:C196)</f>
        <v>25</v>
      </c>
      <c r="D197" s="84">
        <f t="shared" si="32"/>
        <v>50</v>
      </c>
      <c r="E197" s="84">
        <f t="shared" si="32"/>
        <v>1.3</v>
      </c>
      <c r="F197" s="84">
        <f t="shared" si="32"/>
        <v>0</v>
      </c>
      <c r="G197" s="84">
        <f t="shared" si="32"/>
        <v>17</v>
      </c>
      <c r="H197" s="84">
        <f t="shared" si="32"/>
        <v>50</v>
      </c>
      <c r="I197" s="84">
        <f t="shared" si="32"/>
        <v>40</v>
      </c>
      <c r="J197" s="84">
        <f t="shared" si="32"/>
        <v>99.9</v>
      </c>
      <c r="K197" s="84">
        <f t="shared" si="32"/>
        <v>0</v>
      </c>
      <c r="L197" s="84">
        <f t="shared" si="32"/>
        <v>0</v>
      </c>
      <c r="M197" s="84">
        <f t="shared" si="32"/>
        <v>0</v>
      </c>
      <c r="N197" s="84">
        <f t="shared" si="32"/>
        <v>18</v>
      </c>
      <c r="O197" s="84">
        <f t="shared" si="32"/>
        <v>0</v>
      </c>
      <c r="P197" s="84">
        <f t="shared" si="32"/>
        <v>15</v>
      </c>
      <c r="Q197" s="84">
        <f t="shared" si="32"/>
        <v>9.8</v>
      </c>
      <c r="R197" s="84">
        <f t="shared" si="32"/>
        <v>8</v>
      </c>
      <c r="S197" s="84">
        <f t="shared" si="32"/>
        <v>0</v>
      </c>
      <c r="T197" s="84">
        <f t="shared" si="32"/>
        <v>0</v>
      </c>
      <c r="U197" s="84">
        <f t="shared" si="32"/>
        <v>0</v>
      </c>
      <c r="V197" s="84">
        <f t="shared" si="32"/>
        <v>0</v>
      </c>
      <c r="W197" s="84">
        <f t="shared" si="32"/>
        <v>126</v>
      </c>
      <c r="X197" s="84">
        <f t="shared" si="32"/>
        <v>0</v>
      </c>
      <c r="Y197" s="84">
        <f t="shared" si="32"/>
        <v>0</v>
      </c>
      <c r="Z197" s="84">
        <f t="shared" si="32"/>
        <v>10</v>
      </c>
      <c r="AA197" s="84">
        <f t="shared" si="32"/>
        <v>0</v>
      </c>
      <c r="AB197" s="84">
        <f t="shared" si="32"/>
        <v>0</v>
      </c>
      <c r="AC197" s="84">
        <f t="shared" si="32"/>
        <v>0</v>
      </c>
      <c r="AD197" s="88">
        <f t="shared" si="32"/>
        <v>0</v>
      </c>
      <c r="AE197" s="84">
        <f t="shared" si="32"/>
        <v>0</v>
      </c>
    </row>
    <row r="198" spans="1:31" ht="65.25" thickBot="1">
      <c r="A198" s="150" t="s">
        <v>145</v>
      </c>
      <c r="B198" s="151"/>
      <c r="C198" s="151"/>
      <c r="D198" s="151"/>
      <c r="E198" s="151"/>
      <c r="F198" s="151"/>
      <c r="G198" s="151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  <c r="W198" s="151"/>
      <c r="X198" s="151"/>
      <c r="Y198" s="151"/>
      <c r="Z198" s="151"/>
      <c r="AA198" s="151"/>
      <c r="AB198" s="151"/>
      <c r="AC198" s="151"/>
      <c r="AD198" s="151"/>
      <c r="AE198" s="152"/>
    </row>
    <row r="199" spans="1:31" ht="129.75" thickBot="1">
      <c r="A199" s="92">
        <v>21.1</v>
      </c>
      <c r="B199" s="27" t="s">
        <v>172</v>
      </c>
      <c r="C199" s="83"/>
      <c r="D199" s="86"/>
      <c r="E199" s="83"/>
      <c r="F199" s="83"/>
      <c r="G199" s="83"/>
      <c r="H199" s="86"/>
      <c r="I199" s="86"/>
      <c r="J199" s="86"/>
      <c r="K199" s="86"/>
      <c r="L199" s="86"/>
      <c r="M199" s="86"/>
      <c r="N199" s="86"/>
      <c r="O199" s="87"/>
      <c r="P199" s="84"/>
      <c r="Q199" s="87"/>
      <c r="R199" s="84"/>
      <c r="S199" s="87"/>
      <c r="T199" s="84">
        <v>185</v>
      </c>
      <c r="U199" s="87"/>
      <c r="V199" s="84"/>
      <c r="W199" s="84"/>
      <c r="X199" s="87"/>
      <c r="Y199" s="84"/>
      <c r="Z199" s="84"/>
      <c r="AA199" s="87"/>
      <c r="AB199" s="84"/>
      <c r="AC199" s="87"/>
      <c r="AD199" s="88"/>
      <c r="AE199" s="83"/>
    </row>
    <row r="200" spans="1:31" ht="194.25" thickBot="1">
      <c r="A200" s="83">
        <v>24</v>
      </c>
      <c r="B200" s="22" t="s">
        <v>105</v>
      </c>
      <c r="C200" s="84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>
        <v>75</v>
      </c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7"/>
      <c r="AE200" s="83"/>
    </row>
    <row r="201" spans="1:31" ht="65.25" thickBot="1">
      <c r="A201" s="84"/>
      <c r="B201" s="22" t="s">
        <v>29</v>
      </c>
      <c r="C201" s="84">
        <f>C199+C200</f>
        <v>0</v>
      </c>
      <c r="D201" s="84">
        <f aca="true" t="shared" si="33" ref="D201:AE201">D199+D200</f>
        <v>0</v>
      </c>
      <c r="E201" s="84">
        <f t="shared" si="33"/>
        <v>0</v>
      </c>
      <c r="F201" s="84">
        <f t="shared" si="33"/>
        <v>0</v>
      </c>
      <c r="G201" s="84">
        <f t="shared" si="33"/>
        <v>0</v>
      </c>
      <c r="H201" s="84">
        <f t="shared" si="33"/>
        <v>0</v>
      </c>
      <c r="I201" s="84">
        <f t="shared" si="33"/>
        <v>0</v>
      </c>
      <c r="J201" s="84">
        <f t="shared" si="33"/>
        <v>0</v>
      </c>
      <c r="K201" s="84">
        <f t="shared" si="33"/>
        <v>0</v>
      </c>
      <c r="L201" s="84">
        <f t="shared" si="33"/>
        <v>0</v>
      </c>
      <c r="M201" s="84">
        <f t="shared" si="33"/>
        <v>0</v>
      </c>
      <c r="N201" s="84">
        <f t="shared" si="33"/>
        <v>0</v>
      </c>
      <c r="O201" s="84">
        <f t="shared" si="33"/>
        <v>75</v>
      </c>
      <c r="P201" s="84">
        <f t="shared" si="33"/>
        <v>0</v>
      </c>
      <c r="Q201" s="84">
        <f t="shared" si="33"/>
        <v>0</v>
      </c>
      <c r="R201" s="84">
        <f t="shared" si="33"/>
        <v>0</v>
      </c>
      <c r="S201" s="84">
        <f t="shared" si="33"/>
        <v>0</v>
      </c>
      <c r="T201" s="84">
        <f t="shared" si="33"/>
        <v>185</v>
      </c>
      <c r="U201" s="84">
        <f t="shared" si="33"/>
        <v>0</v>
      </c>
      <c r="V201" s="84">
        <f t="shared" si="33"/>
        <v>0</v>
      </c>
      <c r="W201" s="84">
        <f t="shared" si="33"/>
        <v>0</v>
      </c>
      <c r="X201" s="84">
        <f t="shared" si="33"/>
        <v>0</v>
      </c>
      <c r="Y201" s="84">
        <f t="shared" si="33"/>
        <v>0</v>
      </c>
      <c r="Z201" s="84">
        <f t="shared" si="33"/>
        <v>0</v>
      </c>
      <c r="AA201" s="84">
        <f t="shared" si="33"/>
        <v>0</v>
      </c>
      <c r="AB201" s="84">
        <f t="shared" si="33"/>
        <v>0</v>
      </c>
      <c r="AC201" s="84">
        <f t="shared" si="33"/>
        <v>0</v>
      </c>
      <c r="AD201" s="84">
        <f t="shared" si="33"/>
        <v>0</v>
      </c>
      <c r="AE201" s="84">
        <f t="shared" si="33"/>
        <v>0</v>
      </c>
    </row>
    <row r="202" spans="1:31" ht="65.25" thickBot="1">
      <c r="A202" s="150" t="s">
        <v>144</v>
      </c>
      <c r="B202" s="151"/>
      <c r="C202" s="151"/>
      <c r="D202" s="151"/>
      <c r="E202" s="151"/>
      <c r="F202" s="151"/>
      <c r="G202" s="151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  <c r="W202" s="151"/>
      <c r="X202" s="151"/>
      <c r="Y202" s="151"/>
      <c r="Z202" s="151"/>
      <c r="AA202" s="151"/>
      <c r="AB202" s="151"/>
      <c r="AC202" s="151"/>
      <c r="AD202" s="151"/>
      <c r="AE202" s="152"/>
    </row>
    <row r="203" spans="1:31" ht="68.25" customHeight="1" thickBot="1">
      <c r="A203" s="84">
        <v>23</v>
      </c>
      <c r="B203" s="25" t="s">
        <v>162</v>
      </c>
      <c r="C203" s="84"/>
      <c r="D203" s="85"/>
      <c r="E203" s="85"/>
      <c r="F203" s="85"/>
      <c r="G203" s="85">
        <v>23</v>
      </c>
      <c r="H203" s="86"/>
      <c r="I203" s="86"/>
      <c r="J203" s="86"/>
      <c r="K203" s="86"/>
      <c r="L203" s="86"/>
      <c r="M203" s="86"/>
      <c r="N203" s="86"/>
      <c r="O203" s="87"/>
      <c r="P203" s="84">
        <v>5</v>
      </c>
      <c r="Q203" s="87">
        <v>2</v>
      </c>
      <c r="R203" s="84"/>
      <c r="S203" s="87"/>
      <c r="T203" s="84">
        <v>136</v>
      </c>
      <c r="U203" s="87"/>
      <c r="V203" s="84"/>
      <c r="W203" s="84"/>
      <c r="X203" s="84"/>
      <c r="Y203" s="87"/>
      <c r="Z203" s="84"/>
      <c r="AA203" s="84"/>
      <c r="AB203" s="84"/>
      <c r="AC203" s="87"/>
      <c r="AD203" s="88"/>
      <c r="AE203" s="84"/>
    </row>
    <row r="204" spans="1:31" ht="129.75" thickBot="1">
      <c r="A204" s="83" t="s">
        <v>32</v>
      </c>
      <c r="B204" s="22" t="s">
        <v>56</v>
      </c>
      <c r="C204" s="84">
        <v>25</v>
      </c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7"/>
      <c r="V204" s="83"/>
      <c r="W204" s="86"/>
      <c r="X204" s="87"/>
      <c r="Y204" s="83"/>
      <c r="Z204" s="86"/>
      <c r="AA204" s="86"/>
      <c r="AB204" s="86"/>
      <c r="AC204" s="86"/>
      <c r="AD204" s="87"/>
      <c r="AE204" s="83"/>
    </row>
    <row r="205" spans="1:31" ht="129.75" thickBot="1">
      <c r="A205" s="83">
        <v>69</v>
      </c>
      <c r="B205" s="22" t="s">
        <v>106</v>
      </c>
      <c r="C205" s="84"/>
      <c r="D205" s="86"/>
      <c r="E205" s="86"/>
      <c r="F205" s="86"/>
      <c r="G205" s="86"/>
      <c r="H205" s="86"/>
      <c r="I205" s="86"/>
      <c r="J205" s="86"/>
      <c r="K205" s="86"/>
      <c r="L205" s="86"/>
      <c r="M205" s="86">
        <v>85</v>
      </c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7"/>
      <c r="AE205" s="84"/>
    </row>
    <row r="206" spans="1:31" ht="129.75" thickBot="1">
      <c r="A206" s="83">
        <v>2</v>
      </c>
      <c r="B206" s="22" t="s">
        <v>69</v>
      </c>
      <c r="C206" s="84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3"/>
      <c r="P206" s="84">
        <v>11</v>
      </c>
      <c r="Q206" s="83"/>
      <c r="R206" s="87"/>
      <c r="S206" s="83"/>
      <c r="T206" s="84">
        <v>100</v>
      </c>
      <c r="U206" s="83"/>
      <c r="V206" s="87"/>
      <c r="W206" s="83"/>
      <c r="X206" s="87"/>
      <c r="Y206" s="83"/>
      <c r="Z206" s="87"/>
      <c r="AA206" s="83"/>
      <c r="AB206" s="87"/>
      <c r="AC206" s="83">
        <v>2.4</v>
      </c>
      <c r="AD206" s="90"/>
      <c r="AE206" s="84"/>
    </row>
    <row r="207" spans="1:31" ht="65.25" thickBot="1">
      <c r="A207" s="80"/>
      <c r="B207" s="22" t="s">
        <v>6</v>
      </c>
      <c r="C207" s="84">
        <f aca="true" t="shared" si="34" ref="C207:AE207">SUM(C203:C206)</f>
        <v>25</v>
      </c>
      <c r="D207" s="84">
        <f t="shared" si="34"/>
        <v>0</v>
      </c>
      <c r="E207" s="84">
        <f t="shared" si="34"/>
        <v>0</v>
      </c>
      <c r="F207" s="84">
        <f t="shared" si="34"/>
        <v>0</v>
      </c>
      <c r="G207" s="84">
        <f t="shared" si="34"/>
        <v>23</v>
      </c>
      <c r="H207" s="84">
        <f t="shared" si="34"/>
        <v>0</v>
      </c>
      <c r="I207" s="84">
        <f t="shared" si="34"/>
        <v>0</v>
      </c>
      <c r="J207" s="84">
        <f t="shared" si="34"/>
        <v>0</v>
      </c>
      <c r="K207" s="84">
        <f t="shared" si="34"/>
        <v>0</v>
      </c>
      <c r="L207" s="84">
        <f t="shared" si="34"/>
        <v>0</v>
      </c>
      <c r="M207" s="84">
        <f t="shared" si="34"/>
        <v>85</v>
      </c>
      <c r="N207" s="84">
        <f t="shared" si="34"/>
        <v>0</v>
      </c>
      <c r="O207" s="84">
        <f t="shared" si="34"/>
        <v>0</v>
      </c>
      <c r="P207" s="84">
        <f t="shared" si="34"/>
        <v>16</v>
      </c>
      <c r="Q207" s="84">
        <f t="shared" si="34"/>
        <v>2</v>
      </c>
      <c r="R207" s="84">
        <f t="shared" si="34"/>
        <v>0</v>
      </c>
      <c r="S207" s="84">
        <f t="shared" si="34"/>
        <v>0</v>
      </c>
      <c r="T207" s="84">
        <f t="shared" si="34"/>
        <v>236</v>
      </c>
      <c r="U207" s="84">
        <f t="shared" si="34"/>
        <v>0</v>
      </c>
      <c r="V207" s="84">
        <f t="shared" si="34"/>
        <v>0</v>
      </c>
      <c r="W207" s="84">
        <f t="shared" si="34"/>
        <v>0</v>
      </c>
      <c r="X207" s="84">
        <f t="shared" si="34"/>
        <v>0</v>
      </c>
      <c r="Y207" s="84">
        <f t="shared" si="34"/>
        <v>0</v>
      </c>
      <c r="Z207" s="84">
        <f t="shared" si="34"/>
        <v>0</v>
      </c>
      <c r="AA207" s="84">
        <f t="shared" si="34"/>
        <v>0</v>
      </c>
      <c r="AB207" s="84">
        <f t="shared" si="34"/>
        <v>0</v>
      </c>
      <c r="AC207" s="84">
        <f t="shared" si="34"/>
        <v>2.4</v>
      </c>
      <c r="AD207" s="84">
        <f t="shared" si="34"/>
        <v>0</v>
      </c>
      <c r="AE207" s="84">
        <f t="shared" si="34"/>
        <v>0</v>
      </c>
    </row>
    <row r="208" spans="1:31" ht="194.25" thickBot="1">
      <c r="A208" s="145"/>
      <c r="B208" s="22" t="s">
        <v>150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8"/>
      <c r="AE208" s="84"/>
    </row>
    <row r="209" spans="1:31" s="82" customFormat="1" ht="65.25" thickBot="1">
      <c r="A209" s="83"/>
      <c r="B209" s="93" t="s">
        <v>10</v>
      </c>
      <c r="C209" s="103">
        <f aca="true" t="shared" si="35" ref="C209:AE209">C185+C188+C197+C201+C207</f>
        <v>75</v>
      </c>
      <c r="D209" s="103">
        <f t="shared" si="35"/>
        <v>50</v>
      </c>
      <c r="E209" s="103">
        <f t="shared" si="35"/>
        <v>1.3</v>
      </c>
      <c r="F209" s="103">
        <f t="shared" si="35"/>
        <v>0</v>
      </c>
      <c r="G209" s="103">
        <f t="shared" si="35"/>
        <v>108</v>
      </c>
      <c r="H209" s="103">
        <f t="shared" si="35"/>
        <v>50</v>
      </c>
      <c r="I209" s="103">
        <f t="shared" si="35"/>
        <v>40</v>
      </c>
      <c r="J209" s="103">
        <f t="shared" si="35"/>
        <v>162.9</v>
      </c>
      <c r="K209" s="103">
        <f t="shared" si="35"/>
        <v>150</v>
      </c>
      <c r="L209" s="103">
        <f t="shared" si="35"/>
        <v>0</v>
      </c>
      <c r="M209" s="103">
        <f t="shared" si="35"/>
        <v>85</v>
      </c>
      <c r="N209" s="103">
        <f t="shared" si="35"/>
        <v>18</v>
      </c>
      <c r="O209" s="103">
        <f t="shared" si="35"/>
        <v>75</v>
      </c>
      <c r="P209" s="103">
        <f t="shared" si="35"/>
        <v>43</v>
      </c>
      <c r="Q209" s="103">
        <f t="shared" si="35"/>
        <v>23.8</v>
      </c>
      <c r="R209" s="103">
        <f t="shared" si="35"/>
        <v>8</v>
      </c>
      <c r="S209" s="103">
        <f t="shared" si="35"/>
        <v>0</v>
      </c>
      <c r="T209" s="103">
        <f t="shared" si="35"/>
        <v>421</v>
      </c>
      <c r="U209" s="103">
        <f t="shared" si="35"/>
        <v>0</v>
      </c>
      <c r="V209" s="103">
        <f t="shared" si="35"/>
        <v>0</v>
      </c>
      <c r="W209" s="103">
        <f t="shared" si="35"/>
        <v>126</v>
      </c>
      <c r="X209" s="103">
        <f t="shared" si="35"/>
        <v>0</v>
      </c>
      <c r="Y209" s="103">
        <f t="shared" si="35"/>
        <v>0</v>
      </c>
      <c r="Z209" s="103">
        <f t="shared" si="35"/>
        <v>10</v>
      </c>
      <c r="AA209" s="103">
        <f t="shared" si="35"/>
        <v>0</v>
      </c>
      <c r="AB209" s="103">
        <f t="shared" si="35"/>
        <v>0.58</v>
      </c>
      <c r="AC209" s="103">
        <f t="shared" si="35"/>
        <v>2.4</v>
      </c>
      <c r="AD209" s="103">
        <f t="shared" si="35"/>
        <v>0</v>
      </c>
      <c r="AE209" s="103">
        <f t="shared" si="35"/>
        <v>0</v>
      </c>
    </row>
    <row r="210" spans="1:31" s="82" customFormat="1" ht="65.25" thickBot="1">
      <c r="A210" s="150" t="s">
        <v>40</v>
      </c>
      <c r="B210" s="151"/>
      <c r="C210" s="151"/>
      <c r="D210" s="151"/>
      <c r="E210" s="151"/>
      <c r="F210" s="151"/>
      <c r="G210" s="151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  <c r="W210" s="151"/>
      <c r="X210" s="151"/>
      <c r="Y210" s="151"/>
      <c r="Z210" s="151"/>
      <c r="AA210" s="151"/>
      <c r="AB210" s="151"/>
      <c r="AC210" s="151"/>
      <c r="AD210" s="151"/>
      <c r="AE210" s="152"/>
    </row>
    <row r="211" spans="1:31" ht="65.25" thickBot="1">
      <c r="A211" s="150" t="s">
        <v>18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  <c r="W211" s="151"/>
      <c r="X211" s="151"/>
      <c r="Y211" s="151"/>
      <c r="Z211" s="151"/>
      <c r="AA211" s="151"/>
      <c r="AB211" s="151"/>
      <c r="AC211" s="151"/>
      <c r="AD211" s="151"/>
      <c r="AE211" s="152"/>
    </row>
    <row r="212" spans="1:31" ht="45.75" customHeight="1">
      <c r="A212" s="166" t="s">
        <v>30</v>
      </c>
      <c r="B212" s="168" t="s">
        <v>23</v>
      </c>
      <c r="C212" s="153" t="s">
        <v>116</v>
      </c>
      <c r="D212" s="153" t="s">
        <v>117</v>
      </c>
      <c r="E212" s="153" t="s">
        <v>130</v>
      </c>
      <c r="F212" s="153" t="s">
        <v>119</v>
      </c>
      <c r="G212" s="153" t="s">
        <v>131</v>
      </c>
      <c r="H212" s="153" t="s">
        <v>132</v>
      </c>
      <c r="I212" s="153" t="s">
        <v>110</v>
      </c>
      <c r="J212" s="153" t="s">
        <v>257</v>
      </c>
      <c r="K212" s="140"/>
      <c r="L212" s="140"/>
      <c r="M212" s="153" t="s">
        <v>142</v>
      </c>
      <c r="N212" s="153" t="s">
        <v>79</v>
      </c>
      <c r="O212" s="153" t="s">
        <v>139</v>
      </c>
      <c r="P212" s="153" t="s">
        <v>80</v>
      </c>
      <c r="Q212" s="153" t="s">
        <v>124</v>
      </c>
      <c r="R212" s="153" t="s">
        <v>81</v>
      </c>
      <c r="S212" s="153" t="s">
        <v>134</v>
      </c>
      <c r="T212" s="153" t="s">
        <v>135</v>
      </c>
      <c r="U212" s="153" t="s">
        <v>136</v>
      </c>
      <c r="V212" s="140"/>
      <c r="W212" s="153" t="s">
        <v>113</v>
      </c>
      <c r="X212" s="153" t="s">
        <v>129</v>
      </c>
      <c r="Y212" s="153" t="s">
        <v>84</v>
      </c>
      <c r="Z212" s="153" t="s">
        <v>82</v>
      </c>
      <c r="AA212" s="153" t="s">
        <v>83</v>
      </c>
      <c r="AB212" s="153" t="s">
        <v>85</v>
      </c>
      <c r="AC212" s="140"/>
      <c r="AD212" s="158" t="s">
        <v>78</v>
      </c>
      <c r="AE212" s="153" t="s">
        <v>137</v>
      </c>
    </row>
    <row r="213" spans="1:31" ht="409.5" customHeight="1" thickBot="1">
      <c r="A213" s="167"/>
      <c r="B213" s="169"/>
      <c r="C213" s="154"/>
      <c r="D213" s="154"/>
      <c r="E213" s="154"/>
      <c r="F213" s="154"/>
      <c r="G213" s="154"/>
      <c r="H213" s="154"/>
      <c r="I213" s="154"/>
      <c r="J213" s="154"/>
      <c r="K213" s="141" t="s">
        <v>133</v>
      </c>
      <c r="L213" s="141" t="s">
        <v>143</v>
      </c>
      <c r="M213" s="154"/>
      <c r="N213" s="154"/>
      <c r="O213" s="154"/>
      <c r="P213" s="154"/>
      <c r="Q213" s="154"/>
      <c r="R213" s="154"/>
      <c r="S213" s="154"/>
      <c r="T213" s="154"/>
      <c r="U213" s="154"/>
      <c r="V213" s="141" t="s">
        <v>140</v>
      </c>
      <c r="W213" s="154"/>
      <c r="X213" s="154"/>
      <c r="Y213" s="154"/>
      <c r="Z213" s="154"/>
      <c r="AA213" s="154"/>
      <c r="AB213" s="154"/>
      <c r="AC213" s="141" t="s">
        <v>77</v>
      </c>
      <c r="AD213" s="159"/>
      <c r="AE213" s="154"/>
    </row>
    <row r="214" spans="1:31" ht="65.25" thickBot="1">
      <c r="A214" s="145">
        <v>1</v>
      </c>
      <c r="B214" s="79">
        <v>2</v>
      </c>
      <c r="C214" s="80" t="s">
        <v>54</v>
      </c>
      <c r="D214" s="81">
        <v>4</v>
      </c>
      <c r="E214" s="80">
        <v>5</v>
      </c>
      <c r="F214" s="80">
        <v>6</v>
      </c>
      <c r="G214" s="80">
        <v>7</v>
      </c>
      <c r="H214" s="80">
        <v>8</v>
      </c>
      <c r="I214" s="80" t="s">
        <v>55</v>
      </c>
      <c r="J214" s="81">
        <v>10</v>
      </c>
      <c r="K214" s="80">
        <v>11</v>
      </c>
      <c r="L214" s="108">
        <v>12</v>
      </c>
      <c r="M214" s="80">
        <v>13</v>
      </c>
      <c r="N214" s="80">
        <v>14</v>
      </c>
      <c r="O214" s="80">
        <v>15</v>
      </c>
      <c r="P214" s="80">
        <v>16</v>
      </c>
      <c r="Q214" s="143">
        <v>17</v>
      </c>
      <c r="R214" s="80">
        <v>18</v>
      </c>
      <c r="S214" s="143">
        <v>19</v>
      </c>
      <c r="T214" s="80">
        <v>20</v>
      </c>
      <c r="U214" s="143">
        <v>21</v>
      </c>
      <c r="V214" s="143">
        <v>22</v>
      </c>
      <c r="W214" s="80">
        <v>23</v>
      </c>
      <c r="X214" s="80">
        <v>24</v>
      </c>
      <c r="Y214" s="143">
        <v>25</v>
      </c>
      <c r="Z214" s="80">
        <v>26</v>
      </c>
      <c r="AA214" s="80">
        <v>27</v>
      </c>
      <c r="AB214" s="80">
        <v>28</v>
      </c>
      <c r="AC214" s="143">
        <v>29</v>
      </c>
      <c r="AD214" s="142">
        <v>30</v>
      </c>
      <c r="AE214" s="80">
        <v>32</v>
      </c>
    </row>
    <row r="215" spans="1:31" ht="65.25" thickBot="1">
      <c r="A215" s="150" t="s">
        <v>5</v>
      </c>
      <c r="B215" s="151"/>
      <c r="C215" s="151"/>
      <c r="D215" s="151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  <c r="W215" s="151"/>
      <c r="X215" s="151"/>
      <c r="Y215" s="151"/>
      <c r="Z215" s="151"/>
      <c r="AA215" s="151"/>
      <c r="AB215" s="151"/>
      <c r="AC215" s="151"/>
      <c r="AD215" s="151"/>
      <c r="AE215" s="152"/>
    </row>
    <row r="216" spans="1:31" ht="65.25" thickBot="1">
      <c r="A216" s="83">
        <v>14</v>
      </c>
      <c r="B216" s="25" t="s">
        <v>176</v>
      </c>
      <c r="C216" s="84"/>
      <c r="D216" s="86"/>
      <c r="E216" s="86"/>
      <c r="F216" s="86"/>
      <c r="G216" s="84">
        <v>28</v>
      </c>
      <c r="H216" s="86"/>
      <c r="I216" s="86"/>
      <c r="J216" s="120"/>
      <c r="K216" s="120"/>
      <c r="L216" s="120"/>
      <c r="M216" s="120"/>
      <c r="N216" s="86"/>
      <c r="O216" s="84"/>
      <c r="P216" s="87">
        <v>5</v>
      </c>
      <c r="Q216" s="84">
        <v>2</v>
      </c>
      <c r="R216" s="87"/>
      <c r="S216" s="84"/>
      <c r="T216" s="87">
        <v>136</v>
      </c>
      <c r="U216" s="84"/>
      <c r="V216" s="87"/>
      <c r="W216" s="84"/>
      <c r="X216" s="87"/>
      <c r="Y216" s="84"/>
      <c r="Z216" s="87"/>
      <c r="AA216" s="84"/>
      <c r="AB216" s="87"/>
      <c r="AC216" s="84"/>
      <c r="AD216" s="88"/>
      <c r="AE216" s="83"/>
    </row>
    <row r="217" spans="1:31" ht="65.25" thickBot="1">
      <c r="A217" s="83">
        <v>15</v>
      </c>
      <c r="B217" s="22" t="s">
        <v>224</v>
      </c>
      <c r="C217" s="84"/>
      <c r="D217" s="85"/>
      <c r="E217" s="85"/>
      <c r="F217" s="85"/>
      <c r="G217" s="85"/>
      <c r="H217" s="86"/>
      <c r="I217" s="86"/>
      <c r="J217" s="86"/>
      <c r="K217" s="86"/>
      <c r="L217" s="86"/>
      <c r="M217" s="86"/>
      <c r="N217" s="86"/>
      <c r="O217" s="87"/>
      <c r="P217" s="84">
        <v>11</v>
      </c>
      <c r="Q217" s="87"/>
      <c r="R217" s="84"/>
      <c r="S217" s="87"/>
      <c r="T217" s="84">
        <v>100</v>
      </c>
      <c r="U217" s="87"/>
      <c r="V217" s="83"/>
      <c r="W217" s="84"/>
      <c r="X217" s="83"/>
      <c r="Y217" s="87"/>
      <c r="Z217" s="84"/>
      <c r="AA217" s="84"/>
      <c r="AB217" s="87"/>
      <c r="AC217" s="83"/>
      <c r="AD217" s="88">
        <v>1.3</v>
      </c>
      <c r="AE217" s="84"/>
    </row>
    <row r="218" spans="1:31" ht="65.25" thickBot="1">
      <c r="A218" s="83">
        <v>16</v>
      </c>
      <c r="B218" s="22" t="s">
        <v>36</v>
      </c>
      <c r="C218" s="86">
        <v>25</v>
      </c>
      <c r="D218" s="85"/>
      <c r="E218" s="85"/>
      <c r="F218" s="85"/>
      <c r="G218" s="85"/>
      <c r="H218" s="86"/>
      <c r="I218" s="86"/>
      <c r="J218" s="86"/>
      <c r="K218" s="86"/>
      <c r="L218" s="86"/>
      <c r="M218" s="86"/>
      <c r="N218" s="86"/>
      <c r="O218" s="87"/>
      <c r="P218" s="84"/>
      <c r="Q218" s="84">
        <v>5</v>
      </c>
      <c r="R218" s="84"/>
      <c r="S218" s="87"/>
      <c r="T218" s="84"/>
      <c r="U218" s="87"/>
      <c r="V218" s="83"/>
      <c r="W218" s="84"/>
      <c r="X218" s="83"/>
      <c r="Y218" s="87"/>
      <c r="Z218" s="84"/>
      <c r="AA218" s="84"/>
      <c r="AB218" s="87"/>
      <c r="AC218" s="83"/>
      <c r="AD218" s="88"/>
      <c r="AE218" s="84"/>
    </row>
    <row r="219" spans="1:31" ht="65.25" thickBot="1">
      <c r="A219" s="83"/>
      <c r="B219" s="22" t="s">
        <v>6</v>
      </c>
      <c r="C219" s="84">
        <f aca="true" t="shared" si="36" ref="C219:AE219">SUM(C216:C218)</f>
        <v>25</v>
      </c>
      <c r="D219" s="84">
        <f t="shared" si="36"/>
        <v>0</v>
      </c>
      <c r="E219" s="84">
        <f t="shared" si="36"/>
        <v>0</v>
      </c>
      <c r="F219" s="84">
        <f t="shared" si="36"/>
        <v>0</v>
      </c>
      <c r="G219" s="84">
        <f t="shared" si="36"/>
        <v>28</v>
      </c>
      <c r="H219" s="84">
        <f t="shared" si="36"/>
        <v>0</v>
      </c>
      <c r="I219" s="84">
        <f t="shared" si="36"/>
        <v>0</v>
      </c>
      <c r="J219" s="84">
        <f t="shared" si="36"/>
        <v>0</v>
      </c>
      <c r="K219" s="84">
        <f t="shared" si="36"/>
        <v>0</v>
      </c>
      <c r="L219" s="84">
        <f t="shared" si="36"/>
        <v>0</v>
      </c>
      <c r="M219" s="84">
        <f t="shared" si="36"/>
        <v>0</v>
      </c>
      <c r="N219" s="84">
        <f t="shared" si="36"/>
        <v>0</v>
      </c>
      <c r="O219" s="84">
        <f t="shared" si="36"/>
        <v>0</v>
      </c>
      <c r="P219" s="84">
        <f t="shared" si="36"/>
        <v>16</v>
      </c>
      <c r="Q219" s="84">
        <f t="shared" si="36"/>
        <v>7</v>
      </c>
      <c r="R219" s="84">
        <f t="shared" si="36"/>
        <v>0</v>
      </c>
      <c r="S219" s="84">
        <f t="shared" si="36"/>
        <v>0</v>
      </c>
      <c r="T219" s="84">
        <f t="shared" si="36"/>
        <v>236</v>
      </c>
      <c r="U219" s="84">
        <f t="shared" si="36"/>
        <v>0</v>
      </c>
      <c r="V219" s="84">
        <f t="shared" si="36"/>
        <v>0</v>
      </c>
      <c r="W219" s="84">
        <f t="shared" si="36"/>
        <v>0</v>
      </c>
      <c r="X219" s="84">
        <f t="shared" si="36"/>
        <v>0</v>
      </c>
      <c r="Y219" s="84">
        <f t="shared" si="36"/>
        <v>0</v>
      </c>
      <c r="Z219" s="84">
        <f t="shared" si="36"/>
        <v>0</v>
      </c>
      <c r="AA219" s="84">
        <f t="shared" si="36"/>
        <v>0</v>
      </c>
      <c r="AB219" s="84">
        <f t="shared" si="36"/>
        <v>0</v>
      </c>
      <c r="AC219" s="84">
        <f t="shared" si="36"/>
        <v>0</v>
      </c>
      <c r="AD219" s="88">
        <f t="shared" si="36"/>
        <v>1.3</v>
      </c>
      <c r="AE219" s="84">
        <f t="shared" si="36"/>
        <v>0</v>
      </c>
    </row>
    <row r="220" spans="1:31" ht="65.25" thickBot="1">
      <c r="A220" s="155" t="s">
        <v>53</v>
      </c>
      <c r="B220" s="156"/>
      <c r="C220" s="156"/>
      <c r="D220" s="156"/>
      <c r="E220" s="156"/>
      <c r="F220" s="156"/>
      <c r="G220" s="156"/>
      <c r="H220" s="156"/>
      <c r="I220" s="156"/>
      <c r="J220" s="156"/>
      <c r="K220" s="156"/>
      <c r="L220" s="156"/>
      <c r="M220" s="156"/>
      <c r="N220" s="156"/>
      <c r="O220" s="156"/>
      <c r="P220" s="156"/>
      <c r="Q220" s="156"/>
      <c r="R220" s="156"/>
      <c r="S220" s="156"/>
      <c r="T220" s="156"/>
      <c r="U220" s="156"/>
      <c r="V220" s="156"/>
      <c r="W220" s="156"/>
      <c r="X220" s="156"/>
      <c r="Y220" s="156"/>
      <c r="Z220" s="156"/>
      <c r="AA220" s="156"/>
      <c r="AB220" s="156"/>
      <c r="AC220" s="156"/>
      <c r="AD220" s="156"/>
      <c r="AE220" s="157"/>
    </row>
    <row r="221" spans="1:31" ht="65.25" thickBot="1">
      <c r="A221" s="83" t="s">
        <v>32</v>
      </c>
      <c r="B221" s="25" t="s">
        <v>182</v>
      </c>
      <c r="C221" s="84"/>
      <c r="D221" s="86"/>
      <c r="E221" s="86"/>
      <c r="F221" s="86"/>
      <c r="G221" s="86"/>
      <c r="H221" s="86"/>
      <c r="I221" s="86"/>
      <c r="J221" s="86"/>
      <c r="K221" s="86">
        <v>150</v>
      </c>
      <c r="L221" s="86"/>
      <c r="M221" s="86"/>
      <c r="N221" s="86"/>
      <c r="O221" s="87"/>
      <c r="P221" s="84"/>
      <c r="Q221" s="87"/>
      <c r="R221" s="84"/>
      <c r="S221" s="87"/>
      <c r="T221" s="84"/>
      <c r="U221" s="87"/>
      <c r="V221" s="84"/>
      <c r="W221" s="84"/>
      <c r="X221" s="87"/>
      <c r="Y221" s="84"/>
      <c r="Z221" s="84"/>
      <c r="AA221" s="87"/>
      <c r="AB221" s="84"/>
      <c r="AC221" s="87"/>
      <c r="AD221" s="88"/>
      <c r="AE221" s="83"/>
    </row>
    <row r="222" spans="1:31" ht="65.25" thickBot="1">
      <c r="A222" s="83"/>
      <c r="B222" s="22" t="s">
        <v>29</v>
      </c>
      <c r="C222" s="86">
        <f>SUM(C221)</f>
        <v>0</v>
      </c>
      <c r="D222" s="86">
        <f>SUM(D221)</f>
        <v>0</v>
      </c>
      <c r="E222" s="86">
        <f aca="true" t="shared" si="37" ref="E222:AD222">SUM(E221)</f>
        <v>0</v>
      </c>
      <c r="F222" s="86">
        <f t="shared" si="37"/>
        <v>0</v>
      </c>
      <c r="G222" s="86">
        <f t="shared" si="37"/>
        <v>0</v>
      </c>
      <c r="H222" s="86">
        <f t="shared" si="37"/>
        <v>0</v>
      </c>
      <c r="I222" s="86">
        <f t="shared" si="37"/>
        <v>0</v>
      </c>
      <c r="J222" s="86">
        <f t="shared" si="37"/>
        <v>0</v>
      </c>
      <c r="K222" s="86">
        <f t="shared" si="37"/>
        <v>150</v>
      </c>
      <c r="L222" s="86">
        <f t="shared" si="37"/>
        <v>0</v>
      </c>
      <c r="M222" s="86">
        <f t="shared" si="37"/>
        <v>0</v>
      </c>
      <c r="N222" s="86">
        <f t="shared" si="37"/>
        <v>0</v>
      </c>
      <c r="O222" s="86">
        <f t="shared" si="37"/>
        <v>0</v>
      </c>
      <c r="P222" s="86">
        <f t="shared" si="37"/>
        <v>0</v>
      </c>
      <c r="Q222" s="86">
        <f t="shared" si="37"/>
        <v>0</v>
      </c>
      <c r="R222" s="86">
        <f t="shared" si="37"/>
        <v>0</v>
      </c>
      <c r="S222" s="86">
        <f t="shared" si="37"/>
        <v>0</v>
      </c>
      <c r="T222" s="86">
        <f t="shared" si="37"/>
        <v>0</v>
      </c>
      <c r="U222" s="86">
        <f t="shared" si="37"/>
        <v>0</v>
      </c>
      <c r="V222" s="86">
        <f t="shared" si="37"/>
        <v>0</v>
      </c>
      <c r="W222" s="86">
        <f t="shared" si="37"/>
        <v>0</v>
      </c>
      <c r="X222" s="86">
        <f t="shared" si="37"/>
        <v>0</v>
      </c>
      <c r="Y222" s="86">
        <f t="shared" si="37"/>
        <v>0</v>
      </c>
      <c r="Z222" s="86">
        <f t="shared" si="37"/>
        <v>0</v>
      </c>
      <c r="AA222" s="86">
        <f t="shared" si="37"/>
        <v>0</v>
      </c>
      <c r="AB222" s="86">
        <f t="shared" si="37"/>
        <v>0</v>
      </c>
      <c r="AC222" s="86">
        <f t="shared" si="37"/>
        <v>0</v>
      </c>
      <c r="AD222" s="87">
        <f t="shared" si="37"/>
        <v>0</v>
      </c>
      <c r="AE222" s="83">
        <f>SUM(AE221)</f>
        <v>0</v>
      </c>
    </row>
    <row r="223" spans="1:31" ht="65.25" thickBot="1">
      <c r="A223" s="150" t="s">
        <v>8</v>
      </c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  <c r="AA223" s="151"/>
      <c r="AB223" s="151"/>
      <c r="AC223" s="151"/>
      <c r="AD223" s="151"/>
      <c r="AE223" s="152"/>
    </row>
    <row r="224" spans="1:31" ht="129.75" thickBot="1">
      <c r="A224" s="84">
        <v>38</v>
      </c>
      <c r="B224" s="22" t="s">
        <v>268</v>
      </c>
      <c r="C224" s="84"/>
      <c r="D224" s="86"/>
      <c r="E224" s="86"/>
      <c r="F224" s="86"/>
      <c r="G224" s="86"/>
      <c r="H224" s="86"/>
      <c r="I224" s="86"/>
      <c r="J224" s="86">
        <v>40</v>
      </c>
      <c r="K224" s="86"/>
      <c r="L224" s="86"/>
      <c r="M224" s="86"/>
      <c r="N224" s="87"/>
      <c r="O224" s="83"/>
      <c r="P224" s="87"/>
      <c r="Q224" s="83"/>
      <c r="R224" s="87"/>
      <c r="S224" s="83"/>
      <c r="T224" s="87"/>
      <c r="U224" s="84"/>
      <c r="V224" s="83"/>
      <c r="W224" s="87"/>
      <c r="X224" s="84"/>
      <c r="Y224" s="83"/>
      <c r="Z224" s="87"/>
      <c r="AA224" s="83"/>
      <c r="AB224" s="84"/>
      <c r="AC224" s="88"/>
      <c r="AD224" s="80"/>
      <c r="AE224" s="83"/>
    </row>
    <row r="225" spans="1:31" ht="129.75" thickBot="1">
      <c r="A225" s="83">
        <v>70</v>
      </c>
      <c r="B225" s="22" t="s">
        <v>41</v>
      </c>
      <c r="C225" s="84"/>
      <c r="D225" s="86"/>
      <c r="E225" s="86"/>
      <c r="F225" s="86"/>
      <c r="G225" s="86"/>
      <c r="H225" s="86"/>
      <c r="I225" s="86">
        <v>34</v>
      </c>
      <c r="J225" s="86">
        <v>73</v>
      </c>
      <c r="K225" s="86"/>
      <c r="L225" s="86"/>
      <c r="M225" s="86"/>
      <c r="N225" s="86"/>
      <c r="O225" s="87"/>
      <c r="P225" s="83">
        <v>1</v>
      </c>
      <c r="Q225" s="87">
        <v>3</v>
      </c>
      <c r="R225" s="83"/>
      <c r="S225" s="87"/>
      <c r="T225" s="83"/>
      <c r="U225" s="87"/>
      <c r="V225" s="83"/>
      <c r="W225" s="83">
        <v>13</v>
      </c>
      <c r="X225" s="87"/>
      <c r="Y225" s="83"/>
      <c r="Z225" s="84">
        <v>8</v>
      </c>
      <c r="AA225" s="87"/>
      <c r="AB225" s="83"/>
      <c r="AC225" s="83"/>
      <c r="AD225" s="87"/>
      <c r="AE225" s="83"/>
    </row>
    <row r="226" spans="1:31" ht="129.75" thickBot="1">
      <c r="A226" s="84">
        <v>58</v>
      </c>
      <c r="B226" s="22" t="s">
        <v>178</v>
      </c>
      <c r="C226" s="83"/>
      <c r="D226" s="86"/>
      <c r="E226" s="86"/>
      <c r="F226" s="86"/>
      <c r="G226" s="86"/>
      <c r="H226" s="86"/>
      <c r="I226" s="86"/>
      <c r="J226" s="86">
        <v>24.5</v>
      </c>
      <c r="K226" s="86"/>
      <c r="L226" s="86"/>
      <c r="M226" s="86"/>
      <c r="N226" s="86"/>
      <c r="O226" s="86"/>
      <c r="P226" s="86"/>
      <c r="Q226" s="86"/>
      <c r="R226" s="86">
        <v>4.5</v>
      </c>
      <c r="S226" s="86"/>
      <c r="T226" s="86"/>
      <c r="U226" s="86"/>
      <c r="V226" s="86"/>
      <c r="W226" s="86"/>
      <c r="X226" s="86"/>
      <c r="Y226" s="86">
        <v>115</v>
      </c>
      <c r="Z226" s="86"/>
      <c r="AA226" s="86"/>
      <c r="AB226" s="86"/>
      <c r="AC226" s="86"/>
      <c r="AD226" s="87"/>
      <c r="AE226" s="83"/>
    </row>
    <row r="227" spans="1:31" ht="65.25" thickBot="1">
      <c r="A227" s="84">
        <v>8</v>
      </c>
      <c r="B227" s="22" t="s">
        <v>37</v>
      </c>
      <c r="C227" s="84"/>
      <c r="D227" s="86"/>
      <c r="E227" s="86"/>
      <c r="F227" s="86"/>
      <c r="G227" s="86"/>
      <c r="H227" s="86"/>
      <c r="I227" s="86">
        <v>111</v>
      </c>
      <c r="J227" s="86"/>
      <c r="K227" s="86"/>
      <c r="L227" s="86"/>
      <c r="M227" s="86"/>
      <c r="N227" s="86"/>
      <c r="O227" s="87"/>
      <c r="P227" s="83"/>
      <c r="Q227" s="87">
        <v>5</v>
      </c>
      <c r="R227" s="83"/>
      <c r="S227" s="87"/>
      <c r="T227" s="83">
        <v>20</v>
      </c>
      <c r="U227" s="90"/>
      <c r="V227" s="83"/>
      <c r="W227" s="83"/>
      <c r="X227" s="87"/>
      <c r="Y227" s="83"/>
      <c r="Z227" s="83"/>
      <c r="AA227" s="87"/>
      <c r="AB227" s="83"/>
      <c r="AC227" s="87"/>
      <c r="AD227" s="90"/>
      <c r="AE227" s="83"/>
    </row>
    <row r="228" spans="1:31" ht="65.25" thickBot="1">
      <c r="A228" s="83">
        <v>9</v>
      </c>
      <c r="B228" s="25" t="s">
        <v>225</v>
      </c>
      <c r="C228" s="84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>
        <v>18</v>
      </c>
      <c r="O228" s="87"/>
      <c r="P228" s="83">
        <v>13</v>
      </c>
      <c r="Q228" s="87"/>
      <c r="R228" s="84"/>
      <c r="S228" s="87"/>
      <c r="T228" s="84"/>
      <c r="U228" s="87"/>
      <c r="V228" s="84"/>
      <c r="W228" s="84"/>
      <c r="X228" s="87"/>
      <c r="Y228" s="84"/>
      <c r="Z228" s="84"/>
      <c r="AA228" s="87"/>
      <c r="AB228" s="84"/>
      <c r="AC228" s="87"/>
      <c r="AD228" s="88"/>
      <c r="AE228" s="83"/>
    </row>
    <row r="229" spans="1:31" ht="129.75" thickBot="1">
      <c r="A229" s="83" t="s">
        <v>32</v>
      </c>
      <c r="B229" s="22" t="s">
        <v>56</v>
      </c>
      <c r="C229" s="84">
        <v>25</v>
      </c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7"/>
      <c r="V229" s="83"/>
      <c r="W229" s="86"/>
      <c r="X229" s="87"/>
      <c r="Y229" s="83"/>
      <c r="Z229" s="86"/>
      <c r="AA229" s="86"/>
      <c r="AB229" s="86"/>
      <c r="AC229" s="86"/>
      <c r="AD229" s="87"/>
      <c r="AE229" s="83"/>
    </row>
    <row r="230" spans="1:31" ht="129.75" thickBot="1">
      <c r="A230" s="83" t="s">
        <v>32</v>
      </c>
      <c r="B230" s="22" t="s">
        <v>58</v>
      </c>
      <c r="C230" s="84"/>
      <c r="D230" s="86">
        <v>50</v>
      </c>
      <c r="E230" s="86"/>
      <c r="F230" s="86"/>
      <c r="G230" s="86"/>
      <c r="H230" s="86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91"/>
      <c r="AE230" s="84"/>
    </row>
    <row r="231" spans="1:31" ht="65.25" thickBot="1">
      <c r="A231" s="84"/>
      <c r="B231" s="25" t="s">
        <v>29</v>
      </c>
      <c r="C231" s="84">
        <f aca="true" t="shared" si="38" ref="C231:AE231">SUM(C224:C230)</f>
        <v>25</v>
      </c>
      <c r="D231" s="84">
        <f t="shared" si="38"/>
        <v>50</v>
      </c>
      <c r="E231" s="84">
        <f t="shared" si="38"/>
        <v>0</v>
      </c>
      <c r="F231" s="84">
        <f t="shared" si="38"/>
        <v>0</v>
      </c>
      <c r="G231" s="84">
        <f t="shared" si="38"/>
        <v>0</v>
      </c>
      <c r="H231" s="84">
        <f t="shared" si="38"/>
        <v>0</v>
      </c>
      <c r="I231" s="84">
        <f t="shared" si="38"/>
        <v>145</v>
      </c>
      <c r="J231" s="84">
        <f t="shared" si="38"/>
        <v>137.5</v>
      </c>
      <c r="K231" s="84">
        <f t="shared" si="38"/>
        <v>0</v>
      </c>
      <c r="L231" s="84">
        <f t="shared" si="38"/>
        <v>0</v>
      </c>
      <c r="M231" s="84">
        <f t="shared" si="38"/>
        <v>0</v>
      </c>
      <c r="N231" s="84">
        <f t="shared" si="38"/>
        <v>18</v>
      </c>
      <c r="O231" s="84">
        <f t="shared" si="38"/>
        <v>0</v>
      </c>
      <c r="P231" s="84">
        <f t="shared" si="38"/>
        <v>14</v>
      </c>
      <c r="Q231" s="84">
        <f t="shared" si="38"/>
        <v>8</v>
      </c>
      <c r="R231" s="84">
        <f t="shared" si="38"/>
        <v>4.5</v>
      </c>
      <c r="S231" s="84">
        <f t="shared" si="38"/>
        <v>0</v>
      </c>
      <c r="T231" s="84">
        <f t="shared" si="38"/>
        <v>20</v>
      </c>
      <c r="U231" s="84">
        <f t="shared" si="38"/>
        <v>0</v>
      </c>
      <c r="V231" s="84">
        <f t="shared" si="38"/>
        <v>0</v>
      </c>
      <c r="W231" s="84">
        <f t="shared" si="38"/>
        <v>13</v>
      </c>
      <c r="X231" s="84">
        <f t="shared" si="38"/>
        <v>0</v>
      </c>
      <c r="Y231" s="84">
        <f t="shared" si="38"/>
        <v>115</v>
      </c>
      <c r="Z231" s="84">
        <f t="shared" si="38"/>
        <v>8</v>
      </c>
      <c r="AA231" s="84">
        <f t="shared" si="38"/>
        <v>0</v>
      </c>
      <c r="AB231" s="84">
        <f t="shared" si="38"/>
        <v>0</v>
      </c>
      <c r="AC231" s="84">
        <f t="shared" si="38"/>
        <v>0</v>
      </c>
      <c r="AD231" s="88">
        <f t="shared" si="38"/>
        <v>0</v>
      </c>
      <c r="AE231" s="84">
        <f t="shared" si="38"/>
        <v>0</v>
      </c>
    </row>
    <row r="232" spans="1:31" ht="65.25" thickBot="1">
      <c r="A232" s="150" t="s">
        <v>145</v>
      </c>
      <c r="B232" s="151"/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  <c r="W232" s="151"/>
      <c r="X232" s="151"/>
      <c r="Y232" s="151"/>
      <c r="Z232" s="151"/>
      <c r="AA232" s="151"/>
      <c r="AB232" s="151"/>
      <c r="AC232" s="151"/>
      <c r="AD232" s="151"/>
      <c r="AE232" s="152"/>
    </row>
    <row r="233" spans="1:31" ht="129.75" thickBot="1">
      <c r="A233" s="92">
        <v>21.1</v>
      </c>
      <c r="B233" s="27" t="s">
        <v>172</v>
      </c>
      <c r="C233" s="83"/>
      <c r="D233" s="86"/>
      <c r="E233" s="83"/>
      <c r="F233" s="83"/>
      <c r="G233" s="83"/>
      <c r="H233" s="86"/>
      <c r="I233" s="86"/>
      <c r="J233" s="86"/>
      <c r="K233" s="86"/>
      <c r="L233" s="86"/>
      <c r="M233" s="86"/>
      <c r="N233" s="86"/>
      <c r="O233" s="87"/>
      <c r="P233" s="84"/>
      <c r="Q233" s="87"/>
      <c r="R233" s="84"/>
      <c r="S233" s="87"/>
      <c r="T233" s="84">
        <v>185</v>
      </c>
      <c r="U233" s="87"/>
      <c r="V233" s="84"/>
      <c r="W233" s="84"/>
      <c r="X233" s="87"/>
      <c r="Y233" s="84"/>
      <c r="Z233" s="84"/>
      <c r="AA233" s="87"/>
      <c r="AB233" s="84"/>
      <c r="AC233" s="87"/>
      <c r="AD233" s="88"/>
      <c r="AE233" s="83"/>
    </row>
    <row r="234" spans="1:31" ht="65.25" thickBot="1">
      <c r="A234" s="83">
        <v>17</v>
      </c>
      <c r="B234" s="23" t="s">
        <v>210</v>
      </c>
      <c r="C234" s="84"/>
      <c r="D234" s="86"/>
      <c r="E234" s="86">
        <v>39</v>
      </c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>
        <v>20</v>
      </c>
      <c r="Q234" s="86">
        <v>9</v>
      </c>
      <c r="R234" s="86">
        <v>1</v>
      </c>
      <c r="S234" s="86">
        <v>3.4</v>
      </c>
      <c r="T234" s="86">
        <v>7</v>
      </c>
      <c r="U234" s="86"/>
      <c r="V234" s="86"/>
      <c r="W234" s="86"/>
      <c r="X234" s="86"/>
      <c r="Y234" s="86"/>
      <c r="Z234" s="86"/>
      <c r="AA234" s="86"/>
      <c r="AB234" s="86"/>
      <c r="AC234" s="86"/>
      <c r="AD234" s="87"/>
      <c r="AE234" s="83"/>
    </row>
    <row r="235" spans="1:31" ht="65.25" thickBot="1">
      <c r="A235" s="84"/>
      <c r="B235" s="22" t="s">
        <v>29</v>
      </c>
      <c r="C235" s="84">
        <f aca="true" t="shared" si="39" ref="C235:AE235">C233+C234</f>
        <v>0</v>
      </c>
      <c r="D235" s="84">
        <f t="shared" si="39"/>
        <v>0</v>
      </c>
      <c r="E235" s="84">
        <f t="shared" si="39"/>
        <v>39</v>
      </c>
      <c r="F235" s="84">
        <f t="shared" si="39"/>
        <v>0</v>
      </c>
      <c r="G235" s="84">
        <f t="shared" si="39"/>
        <v>0</v>
      </c>
      <c r="H235" s="84">
        <f t="shared" si="39"/>
        <v>0</v>
      </c>
      <c r="I235" s="84">
        <f t="shared" si="39"/>
        <v>0</v>
      </c>
      <c r="J235" s="84">
        <f t="shared" si="39"/>
        <v>0</v>
      </c>
      <c r="K235" s="84">
        <f t="shared" si="39"/>
        <v>0</v>
      </c>
      <c r="L235" s="84">
        <f t="shared" si="39"/>
        <v>0</v>
      </c>
      <c r="M235" s="84">
        <f t="shared" si="39"/>
        <v>0</v>
      </c>
      <c r="N235" s="84">
        <f t="shared" si="39"/>
        <v>0</v>
      </c>
      <c r="O235" s="84">
        <f t="shared" si="39"/>
        <v>0</v>
      </c>
      <c r="P235" s="84">
        <f t="shared" si="39"/>
        <v>20</v>
      </c>
      <c r="Q235" s="84">
        <f t="shared" si="39"/>
        <v>9</v>
      </c>
      <c r="R235" s="84">
        <f t="shared" si="39"/>
        <v>1</v>
      </c>
      <c r="S235" s="84">
        <f t="shared" si="39"/>
        <v>3.4</v>
      </c>
      <c r="T235" s="84">
        <f t="shared" si="39"/>
        <v>192</v>
      </c>
      <c r="U235" s="84">
        <f t="shared" si="39"/>
        <v>0</v>
      </c>
      <c r="V235" s="84">
        <f t="shared" si="39"/>
        <v>0</v>
      </c>
      <c r="W235" s="84">
        <f t="shared" si="39"/>
        <v>0</v>
      </c>
      <c r="X235" s="84">
        <f t="shared" si="39"/>
        <v>0</v>
      </c>
      <c r="Y235" s="84">
        <f t="shared" si="39"/>
        <v>0</v>
      </c>
      <c r="Z235" s="84">
        <f t="shared" si="39"/>
        <v>0</v>
      </c>
      <c r="AA235" s="84">
        <f t="shared" si="39"/>
        <v>0</v>
      </c>
      <c r="AB235" s="84">
        <f t="shared" si="39"/>
        <v>0</v>
      </c>
      <c r="AC235" s="84">
        <f t="shared" si="39"/>
        <v>0</v>
      </c>
      <c r="AD235" s="84">
        <f t="shared" si="39"/>
        <v>0</v>
      </c>
      <c r="AE235" s="84">
        <f t="shared" si="39"/>
        <v>0</v>
      </c>
    </row>
    <row r="236" spans="1:31" ht="65.25" thickBot="1">
      <c r="A236" s="150" t="s">
        <v>144</v>
      </c>
      <c r="B236" s="151"/>
      <c r="C236" s="151"/>
      <c r="D236" s="151"/>
      <c r="E236" s="151"/>
      <c r="F236" s="151"/>
      <c r="G236" s="151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  <c r="W236" s="151"/>
      <c r="X236" s="151"/>
      <c r="Y236" s="151"/>
      <c r="Z236" s="151"/>
      <c r="AA236" s="151"/>
      <c r="AB236" s="151"/>
      <c r="AC236" s="151"/>
      <c r="AD236" s="151"/>
      <c r="AE236" s="152"/>
    </row>
    <row r="237" spans="1:31" ht="65.25" thickBot="1">
      <c r="A237" s="83">
        <v>27</v>
      </c>
      <c r="B237" s="22" t="s">
        <v>73</v>
      </c>
      <c r="C237" s="84"/>
      <c r="D237" s="86"/>
      <c r="E237" s="86"/>
      <c r="F237" s="86"/>
      <c r="G237" s="86"/>
      <c r="H237" s="86"/>
      <c r="I237" s="86">
        <v>115</v>
      </c>
      <c r="J237" s="86">
        <v>101</v>
      </c>
      <c r="K237" s="86"/>
      <c r="L237" s="86"/>
      <c r="M237" s="86"/>
      <c r="N237" s="83"/>
      <c r="O237" s="87"/>
      <c r="P237" s="83"/>
      <c r="Q237" s="87">
        <v>3</v>
      </c>
      <c r="R237" s="84">
        <v>3</v>
      </c>
      <c r="S237" s="83"/>
      <c r="T237" s="87"/>
      <c r="U237" s="90"/>
      <c r="V237" s="83"/>
      <c r="W237" s="83"/>
      <c r="X237" s="87"/>
      <c r="Y237" s="83"/>
      <c r="Z237" s="87"/>
      <c r="AA237" s="83"/>
      <c r="AB237" s="83"/>
      <c r="AC237" s="87"/>
      <c r="AD237" s="90"/>
      <c r="AE237" s="83"/>
    </row>
    <row r="238" spans="1:31" ht="129.75" thickBot="1">
      <c r="A238" s="83" t="s">
        <v>32</v>
      </c>
      <c r="B238" s="22" t="s">
        <v>56</v>
      </c>
      <c r="C238" s="84">
        <v>25</v>
      </c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7"/>
      <c r="V238" s="83"/>
      <c r="W238" s="86"/>
      <c r="X238" s="87"/>
      <c r="Y238" s="83"/>
      <c r="Z238" s="86"/>
      <c r="AA238" s="86"/>
      <c r="AB238" s="86"/>
      <c r="AC238" s="86"/>
      <c r="AD238" s="87"/>
      <c r="AE238" s="83"/>
    </row>
    <row r="239" spans="1:31" ht="129.75" thickBot="1">
      <c r="A239" s="83">
        <v>69</v>
      </c>
      <c r="B239" s="22" t="s">
        <v>106</v>
      </c>
      <c r="C239" s="84"/>
      <c r="D239" s="86"/>
      <c r="E239" s="86"/>
      <c r="F239" s="86"/>
      <c r="G239" s="86"/>
      <c r="H239" s="86"/>
      <c r="I239" s="86"/>
      <c r="J239" s="86"/>
      <c r="K239" s="86"/>
      <c r="L239" s="86"/>
      <c r="M239" s="86">
        <v>85</v>
      </c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7"/>
      <c r="AE239" s="84"/>
    </row>
    <row r="240" spans="1:31" ht="65.25" thickBot="1">
      <c r="A240" s="89">
        <v>31</v>
      </c>
      <c r="B240" s="23" t="s">
        <v>9</v>
      </c>
      <c r="C240" s="84"/>
      <c r="D240" s="86"/>
      <c r="E240" s="86"/>
      <c r="F240" s="86"/>
      <c r="G240" s="86"/>
      <c r="H240" s="86"/>
      <c r="I240" s="86"/>
      <c r="J240" s="86"/>
      <c r="K240" s="86"/>
      <c r="L240" s="86"/>
      <c r="M240" s="86">
        <v>5</v>
      </c>
      <c r="N240" s="86"/>
      <c r="O240" s="86"/>
      <c r="P240" s="84">
        <v>12</v>
      </c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4">
        <v>0.58</v>
      </c>
      <c r="AC240" s="86"/>
      <c r="AD240" s="87"/>
      <c r="AE240" s="83"/>
    </row>
    <row r="241" spans="1:31" ht="65.25" thickBot="1">
      <c r="A241" s="80"/>
      <c r="B241" s="22" t="s">
        <v>6</v>
      </c>
      <c r="C241" s="84">
        <f aca="true" t="shared" si="40" ref="C241:AE241">SUM(C237:C240)</f>
        <v>25</v>
      </c>
      <c r="D241" s="84">
        <f t="shared" si="40"/>
        <v>0</v>
      </c>
      <c r="E241" s="84">
        <f t="shared" si="40"/>
        <v>0</v>
      </c>
      <c r="F241" s="84">
        <f t="shared" si="40"/>
        <v>0</v>
      </c>
      <c r="G241" s="84">
        <f t="shared" si="40"/>
        <v>0</v>
      </c>
      <c r="H241" s="84">
        <f t="shared" si="40"/>
        <v>0</v>
      </c>
      <c r="I241" s="84">
        <f t="shared" si="40"/>
        <v>115</v>
      </c>
      <c r="J241" s="84">
        <f t="shared" si="40"/>
        <v>101</v>
      </c>
      <c r="K241" s="84">
        <f t="shared" si="40"/>
        <v>0</v>
      </c>
      <c r="L241" s="84">
        <f t="shared" si="40"/>
        <v>0</v>
      </c>
      <c r="M241" s="84">
        <f t="shared" si="40"/>
        <v>90</v>
      </c>
      <c r="N241" s="84">
        <f t="shared" si="40"/>
        <v>0</v>
      </c>
      <c r="O241" s="84">
        <f t="shared" si="40"/>
        <v>0</v>
      </c>
      <c r="P241" s="84">
        <f t="shared" si="40"/>
        <v>12</v>
      </c>
      <c r="Q241" s="84">
        <f t="shared" si="40"/>
        <v>3</v>
      </c>
      <c r="R241" s="84">
        <f t="shared" si="40"/>
        <v>3</v>
      </c>
      <c r="S241" s="84">
        <f t="shared" si="40"/>
        <v>0</v>
      </c>
      <c r="T241" s="84">
        <f t="shared" si="40"/>
        <v>0</v>
      </c>
      <c r="U241" s="84">
        <f t="shared" si="40"/>
        <v>0</v>
      </c>
      <c r="V241" s="84">
        <f t="shared" si="40"/>
        <v>0</v>
      </c>
      <c r="W241" s="84">
        <f t="shared" si="40"/>
        <v>0</v>
      </c>
      <c r="X241" s="84">
        <f t="shared" si="40"/>
        <v>0</v>
      </c>
      <c r="Y241" s="84">
        <f t="shared" si="40"/>
        <v>0</v>
      </c>
      <c r="Z241" s="84">
        <f t="shared" si="40"/>
        <v>0</v>
      </c>
      <c r="AA241" s="84">
        <f t="shared" si="40"/>
        <v>0</v>
      </c>
      <c r="AB241" s="84">
        <f t="shared" si="40"/>
        <v>0.58</v>
      </c>
      <c r="AC241" s="84">
        <f t="shared" si="40"/>
        <v>0</v>
      </c>
      <c r="AD241" s="84">
        <f t="shared" si="40"/>
        <v>0</v>
      </c>
      <c r="AE241" s="84">
        <f t="shared" si="40"/>
        <v>0</v>
      </c>
    </row>
    <row r="242" spans="1:31" ht="194.25" thickBot="1">
      <c r="A242" s="145"/>
      <c r="B242" s="22" t="s">
        <v>150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8"/>
      <c r="AE242" s="84"/>
    </row>
    <row r="243" spans="1:31" ht="65.25" thickBot="1">
      <c r="A243" s="83"/>
      <c r="B243" s="93" t="s">
        <v>10</v>
      </c>
      <c r="C243" s="84">
        <f aca="true" t="shared" si="41" ref="C243:AE243">C219+C222+C231+C235+C241</f>
        <v>75</v>
      </c>
      <c r="D243" s="84">
        <f t="shared" si="41"/>
        <v>50</v>
      </c>
      <c r="E243" s="84">
        <f t="shared" si="41"/>
        <v>39</v>
      </c>
      <c r="F243" s="84">
        <f t="shared" si="41"/>
        <v>0</v>
      </c>
      <c r="G243" s="84">
        <f t="shared" si="41"/>
        <v>28</v>
      </c>
      <c r="H243" s="84">
        <f t="shared" si="41"/>
        <v>0</v>
      </c>
      <c r="I243" s="84">
        <f t="shared" si="41"/>
        <v>260</v>
      </c>
      <c r="J243" s="84">
        <f t="shared" si="41"/>
        <v>238.5</v>
      </c>
      <c r="K243" s="84">
        <f t="shared" si="41"/>
        <v>150</v>
      </c>
      <c r="L243" s="84">
        <f t="shared" si="41"/>
        <v>0</v>
      </c>
      <c r="M243" s="84">
        <f t="shared" si="41"/>
        <v>90</v>
      </c>
      <c r="N243" s="84">
        <f t="shared" si="41"/>
        <v>18</v>
      </c>
      <c r="O243" s="84">
        <f t="shared" si="41"/>
        <v>0</v>
      </c>
      <c r="P243" s="84">
        <f t="shared" si="41"/>
        <v>62</v>
      </c>
      <c r="Q243" s="84">
        <f t="shared" si="41"/>
        <v>27</v>
      </c>
      <c r="R243" s="84">
        <f t="shared" si="41"/>
        <v>8.5</v>
      </c>
      <c r="S243" s="84">
        <f t="shared" si="41"/>
        <v>3.4</v>
      </c>
      <c r="T243" s="84">
        <f t="shared" si="41"/>
        <v>448</v>
      </c>
      <c r="U243" s="84">
        <f t="shared" si="41"/>
        <v>0</v>
      </c>
      <c r="V243" s="84">
        <f t="shared" si="41"/>
        <v>0</v>
      </c>
      <c r="W243" s="84">
        <f t="shared" si="41"/>
        <v>13</v>
      </c>
      <c r="X243" s="84">
        <f t="shared" si="41"/>
        <v>0</v>
      </c>
      <c r="Y243" s="84">
        <f t="shared" si="41"/>
        <v>115</v>
      </c>
      <c r="Z243" s="84">
        <f t="shared" si="41"/>
        <v>8</v>
      </c>
      <c r="AA243" s="84">
        <f t="shared" si="41"/>
        <v>0</v>
      </c>
      <c r="AB243" s="84">
        <f t="shared" si="41"/>
        <v>0.58</v>
      </c>
      <c r="AC243" s="84">
        <f t="shared" si="41"/>
        <v>0</v>
      </c>
      <c r="AD243" s="84">
        <f t="shared" si="41"/>
        <v>1.3</v>
      </c>
      <c r="AE243" s="84">
        <f t="shared" si="41"/>
        <v>0</v>
      </c>
    </row>
    <row r="244" spans="1:31" ht="65.25" thickBot="1">
      <c r="A244" s="150" t="s">
        <v>40</v>
      </c>
      <c r="B244" s="151"/>
      <c r="C244" s="151"/>
      <c r="D244" s="151"/>
      <c r="E244" s="151"/>
      <c r="F244" s="151"/>
      <c r="G244" s="151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  <c r="W244" s="151"/>
      <c r="X244" s="151"/>
      <c r="Y244" s="151"/>
      <c r="Z244" s="151"/>
      <c r="AA244" s="151"/>
      <c r="AB244" s="151"/>
      <c r="AC244" s="151"/>
      <c r="AD244" s="151"/>
      <c r="AE244" s="152"/>
    </row>
    <row r="245" spans="1:31" ht="65.25" thickBot="1">
      <c r="A245" s="150" t="s">
        <v>19</v>
      </c>
      <c r="B245" s="151"/>
      <c r="C245" s="151"/>
      <c r="D245" s="151"/>
      <c r="E245" s="151"/>
      <c r="F245" s="151"/>
      <c r="G245" s="151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  <c r="W245" s="151"/>
      <c r="X245" s="151"/>
      <c r="Y245" s="151"/>
      <c r="Z245" s="151"/>
      <c r="AA245" s="151"/>
      <c r="AB245" s="151"/>
      <c r="AC245" s="151"/>
      <c r="AD245" s="151"/>
      <c r="AE245" s="152"/>
    </row>
    <row r="246" spans="1:31" ht="45.75" customHeight="1">
      <c r="A246" s="166" t="s">
        <v>30</v>
      </c>
      <c r="B246" s="168" t="s">
        <v>23</v>
      </c>
      <c r="C246" s="153" t="s">
        <v>116</v>
      </c>
      <c r="D246" s="153" t="s">
        <v>117</v>
      </c>
      <c r="E246" s="153" t="s">
        <v>130</v>
      </c>
      <c r="F246" s="153" t="s">
        <v>119</v>
      </c>
      <c r="G246" s="153" t="s">
        <v>131</v>
      </c>
      <c r="H246" s="153" t="s">
        <v>132</v>
      </c>
      <c r="I246" s="153" t="s">
        <v>110</v>
      </c>
      <c r="J246" s="153" t="s">
        <v>257</v>
      </c>
      <c r="K246" s="140"/>
      <c r="L246" s="140"/>
      <c r="M246" s="153" t="s">
        <v>142</v>
      </c>
      <c r="N246" s="153" t="s">
        <v>79</v>
      </c>
      <c r="O246" s="153" t="s">
        <v>139</v>
      </c>
      <c r="P246" s="153" t="s">
        <v>80</v>
      </c>
      <c r="Q246" s="153" t="s">
        <v>124</v>
      </c>
      <c r="R246" s="153" t="s">
        <v>81</v>
      </c>
      <c r="S246" s="153" t="s">
        <v>134</v>
      </c>
      <c r="T246" s="153" t="s">
        <v>135</v>
      </c>
      <c r="U246" s="153" t="s">
        <v>136</v>
      </c>
      <c r="V246" s="140"/>
      <c r="W246" s="153" t="s">
        <v>113</v>
      </c>
      <c r="X246" s="153" t="s">
        <v>129</v>
      </c>
      <c r="Y246" s="153" t="s">
        <v>84</v>
      </c>
      <c r="Z246" s="153" t="s">
        <v>82</v>
      </c>
      <c r="AA246" s="153" t="s">
        <v>83</v>
      </c>
      <c r="AB246" s="153" t="s">
        <v>85</v>
      </c>
      <c r="AC246" s="140"/>
      <c r="AD246" s="158" t="s">
        <v>78</v>
      </c>
      <c r="AE246" s="153" t="s">
        <v>137</v>
      </c>
    </row>
    <row r="247" spans="1:31" ht="409.5" customHeight="1" thickBot="1">
      <c r="A247" s="167"/>
      <c r="B247" s="169"/>
      <c r="C247" s="154"/>
      <c r="D247" s="154"/>
      <c r="E247" s="154"/>
      <c r="F247" s="154"/>
      <c r="G247" s="154"/>
      <c r="H247" s="154"/>
      <c r="I247" s="154"/>
      <c r="J247" s="154"/>
      <c r="K247" s="141" t="s">
        <v>133</v>
      </c>
      <c r="L247" s="141" t="s">
        <v>143</v>
      </c>
      <c r="M247" s="154"/>
      <c r="N247" s="154"/>
      <c r="O247" s="154"/>
      <c r="P247" s="154"/>
      <c r="Q247" s="154"/>
      <c r="R247" s="154"/>
      <c r="S247" s="154"/>
      <c r="T247" s="154"/>
      <c r="U247" s="154"/>
      <c r="V247" s="141" t="s">
        <v>140</v>
      </c>
      <c r="W247" s="154"/>
      <c r="X247" s="154"/>
      <c r="Y247" s="154"/>
      <c r="Z247" s="154"/>
      <c r="AA247" s="154"/>
      <c r="AB247" s="154"/>
      <c r="AC247" s="141" t="s">
        <v>77</v>
      </c>
      <c r="AD247" s="159"/>
      <c r="AE247" s="154"/>
    </row>
    <row r="248" spans="1:31" ht="65.25" thickBot="1">
      <c r="A248" s="145">
        <v>1</v>
      </c>
      <c r="B248" s="79">
        <v>2</v>
      </c>
      <c r="C248" s="80" t="s">
        <v>54</v>
      </c>
      <c r="D248" s="81">
        <v>4</v>
      </c>
      <c r="E248" s="80">
        <v>5</v>
      </c>
      <c r="F248" s="80">
        <v>6</v>
      </c>
      <c r="G248" s="80">
        <v>7</v>
      </c>
      <c r="H248" s="80">
        <v>8</v>
      </c>
      <c r="I248" s="80" t="s">
        <v>55</v>
      </c>
      <c r="J248" s="81">
        <v>10</v>
      </c>
      <c r="K248" s="80">
        <v>11</v>
      </c>
      <c r="L248" s="108">
        <v>12</v>
      </c>
      <c r="M248" s="80">
        <v>13</v>
      </c>
      <c r="N248" s="80">
        <v>14</v>
      </c>
      <c r="O248" s="80">
        <v>15</v>
      </c>
      <c r="P248" s="80">
        <v>16</v>
      </c>
      <c r="Q248" s="143">
        <v>17</v>
      </c>
      <c r="R248" s="80">
        <v>18</v>
      </c>
      <c r="S248" s="143">
        <v>19</v>
      </c>
      <c r="T248" s="80">
        <v>20</v>
      </c>
      <c r="U248" s="143">
        <v>21</v>
      </c>
      <c r="V248" s="143">
        <v>22</v>
      </c>
      <c r="W248" s="80">
        <v>23</v>
      </c>
      <c r="X248" s="80">
        <v>24</v>
      </c>
      <c r="Y248" s="143">
        <v>25</v>
      </c>
      <c r="Z248" s="80">
        <v>26</v>
      </c>
      <c r="AA248" s="80">
        <v>27</v>
      </c>
      <c r="AB248" s="80">
        <v>28</v>
      </c>
      <c r="AC248" s="143">
        <v>29</v>
      </c>
      <c r="AD248" s="142">
        <v>30</v>
      </c>
      <c r="AE248" s="80">
        <v>32</v>
      </c>
    </row>
    <row r="249" spans="1:31" ht="65.25" thickBot="1">
      <c r="A249" s="150" t="s">
        <v>5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  <c r="W249" s="151"/>
      <c r="X249" s="151"/>
      <c r="Y249" s="151"/>
      <c r="Z249" s="151"/>
      <c r="AA249" s="151"/>
      <c r="AB249" s="151"/>
      <c r="AC249" s="151"/>
      <c r="AD249" s="151"/>
      <c r="AE249" s="152"/>
    </row>
    <row r="250" spans="1:31" ht="129.75" thickBot="1">
      <c r="A250" s="84">
        <v>32</v>
      </c>
      <c r="B250" s="25" t="s">
        <v>218</v>
      </c>
      <c r="C250" s="84"/>
      <c r="D250" s="85"/>
      <c r="E250" s="85"/>
      <c r="F250" s="85"/>
      <c r="G250" s="85">
        <v>18</v>
      </c>
      <c r="H250" s="86"/>
      <c r="I250" s="86"/>
      <c r="J250" s="86"/>
      <c r="K250" s="86"/>
      <c r="L250" s="86"/>
      <c r="M250" s="86"/>
      <c r="N250" s="86"/>
      <c r="O250" s="86"/>
      <c r="P250" s="86">
        <v>5</v>
      </c>
      <c r="Q250" s="86">
        <v>2</v>
      </c>
      <c r="R250" s="86"/>
      <c r="S250" s="86"/>
      <c r="T250" s="86">
        <v>136</v>
      </c>
      <c r="U250" s="87"/>
      <c r="V250" s="84"/>
      <c r="W250" s="87"/>
      <c r="X250" s="84"/>
      <c r="Y250" s="86"/>
      <c r="Z250" s="86"/>
      <c r="AA250" s="86"/>
      <c r="AB250" s="86"/>
      <c r="AC250" s="86"/>
      <c r="AD250" s="87"/>
      <c r="AE250" s="83"/>
    </row>
    <row r="251" spans="1:31" ht="129.75" thickBot="1">
      <c r="A251" s="83">
        <v>2</v>
      </c>
      <c r="B251" s="22" t="s">
        <v>69</v>
      </c>
      <c r="C251" s="84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3"/>
      <c r="P251" s="84">
        <v>11</v>
      </c>
      <c r="Q251" s="83"/>
      <c r="R251" s="87"/>
      <c r="S251" s="83"/>
      <c r="T251" s="84">
        <v>100</v>
      </c>
      <c r="U251" s="83"/>
      <c r="V251" s="87"/>
      <c r="W251" s="83"/>
      <c r="X251" s="87"/>
      <c r="Y251" s="83"/>
      <c r="Z251" s="87"/>
      <c r="AA251" s="83"/>
      <c r="AB251" s="87"/>
      <c r="AC251" s="83">
        <v>2.4</v>
      </c>
      <c r="AD251" s="90"/>
      <c r="AE251" s="84"/>
    </row>
    <row r="252" spans="1:31" ht="129.75" thickBot="1">
      <c r="A252" s="83">
        <v>3</v>
      </c>
      <c r="B252" s="22" t="s">
        <v>38</v>
      </c>
      <c r="C252" s="86">
        <v>25</v>
      </c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3"/>
      <c r="P252" s="87"/>
      <c r="Q252" s="84">
        <v>5</v>
      </c>
      <c r="R252" s="87"/>
      <c r="S252" s="83"/>
      <c r="T252" s="87"/>
      <c r="U252" s="90"/>
      <c r="V252" s="83"/>
      <c r="W252" s="84"/>
      <c r="X252" s="87"/>
      <c r="Y252" s="83"/>
      <c r="Z252" s="87"/>
      <c r="AA252" s="83">
        <v>13</v>
      </c>
      <c r="AB252" s="87"/>
      <c r="AC252" s="83"/>
      <c r="AD252" s="87"/>
      <c r="AE252" s="83"/>
    </row>
    <row r="253" spans="1:31" ht="65.25" thickBot="1">
      <c r="A253" s="83"/>
      <c r="B253" s="22" t="s">
        <v>6</v>
      </c>
      <c r="C253" s="84">
        <f>SUM(C250+C251+C252)</f>
        <v>25</v>
      </c>
      <c r="D253" s="84">
        <f aca="true" t="shared" si="42" ref="D253:AE253">SUM(D250+D251+D252)</f>
        <v>0</v>
      </c>
      <c r="E253" s="84">
        <f t="shared" si="42"/>
        <v>0</v>
      </c>
      <c r="F253" s="84">
        <f t="shared" si="42"/>
        <v>0</v>
      </c>
      <c r="G253" s="84">
        <f t="shared" si="42"/>
        <v>18</v>
      </c>
      <c r="H253" s="84">
        <f t="shared" si="42"/>
        <v>0</v>
      </c>
      <c r="I253" s="84">
        <f t="shared" si="42"/>
        <v>0</v>
      </c>
      <c r="J253" s="84">
        <f t="shared" si="42"/>
        <v>0</v>
      </c>
      <c r="K253" s="84">
        <f t="shared" si="42"/>
        <v>0</v>
      </c>
      <c r="L253" s="84">
        <f t="shared" si="42"/>
        <v>0</v>
      </c>
      <c r="M253" s="84">
        <f t="shared" si="42"/>
        <v>0</v>
      </c>
      <c r="N253" s="84">
        <f t="shared" si="42"/>
        <v>0</v>
      </c>
      <c r="O253" s="84">
        <f t="shared" si="42"/>
        <v>0</v>
      </c>
      <c r="P253" s="84">
        <f t="shared" si="42"/>
        <v>16</v>
      </c>
      <c r="Q253" s="84">
        <f t="shared" si="42"/>
        <v>7</v>
      </c>
      <c r="R253" s="84">
        <f t="shared" si="42"/>
        <v>0</v>
      </c>
      <c r="S253" s="84">
        <f t="shared" si="42"/>
        <v>0</v>
      </c>
      <c r="T253" s="84">
        <f t="shared" si="42"/>
        <v>236</v>
      </c>
      <c r="U253" s="84">
        <f t="shared" si="42"/>
        <v>0</v>
      </c>
      <c r="V253" s="84">
        <f t="shared" si="42"/>
        <v>0</v>
      </c>
      <c r="W253" s="84">
        <f t="shared" si="42"/>
        <v>0</v>
      </c>
      <c r="X253" s="84">
        <f t="shared" si="42"/>
        <v>0</v>
      </c>
      <c r="Y253" s="84">
        <f t="shared" si="42"/>
        <v>0</v>
      </c>
      <c r="Z253" s="84">
        <f t="shared" si="42"/>
        <v>0</v>
      </c>
      <c r="AA253" s="84">
        <f t="shared" si="42"/>
        <v>13</v>
      </c>
      <c r="AB253" s="84">
        <f t="shared" si="42"/>
        <v>0</v>
      </c>
      <c r="AC253" s="84">
        <f t="shared" si="42"/>
        <v>2.4</v>
      </c>
      <c r="AD253" s="88">
        <f t="shared" si="42"/>
        <v>0</v>
      </c>
      <c r="AE253" s="84">
        <f t="shared" si="42"/>
        <v>0</v>
      </c>
    </row>
    <row r="254" spans="1:31" ht="65.25" thickBot="1">
      <c r="A254" s="155" t="s">
        <v>53</v>
      </c>
      <c r="B254" s="156"/>
      <c r="C254" s="156"/>
      <c r="D254" s="156"/>
      <c r="E254" s="156"/>
      <c r="F254" s="156"/>
      <c r="G254" s="156"/>
      <c r="H254" s="156"/>
      <c r="I254" s="156"/>
      <c r="J254" s="156"/>
      <c r="K254" s="156"/>
      <c r="L254" s="156"/>
      <c r="M254" s="156"/>
      <c r="N254" s="156"/>
      <c r="O254" s="156"/>
      <c r="P254" s="156"/>
      <c r="Q254" s="156"/>
      <c r="R254" s="156"/>
      <c r="S254" s="156"/>
      <c r="T254" s="156"/>
      <c r="U254" s="156"/>
      <c r="V254" s="156"/>
      <c r="W254" s="156"/>
      <c r="X254" s="156"/>
      <c r="Y254" s="156"/>
      <c r="Z254" s="156"/>
      <c r="AA254" s="156"/>
      <c r="AB254" s="156"/>
      <c r="AC254" s="156"/>
      <c r="AD254" s="156"/>
      <c r="AE254" s="157"/>
    </row>
    <row r="255" spans="1:31" ht="65.25" thickBot="1">
      <c r="A255" s="83" t="s">
        <v>32</v>
      </c>
      <c r="B255" s="25" t="s">
        <v>182</v>
      </c>
      <c r="C255" s="84"/>
      <c r="D255" s="86"/>
      <c r="E255" s="86"/>
      <c r="F255" s="86"/>
      <c r="G255" s="86"/>
      <c r="H255" s="86"/>
      <c r="I255" s="86"/>
      <c r="J255" s="86"/>
      <c r="K255" s="86">
        <v>150</v>
      </c>
      <c r="L255" s="86"/>
      <c r="M255" s="86"/>
      <c r="N255" s="86"/>
      <c r="O255" s="87"/>
      <c r="P255" s="84"/>
      <c r="Q255" s="87"/>
      <c r="R255" s="84"/>
      <c r="S255" s="87"/>
      <c r="T255" s="84"/>
      <c r="U255" s="87"/>
      <c r="V255" s="84"/>
      <c r="W255" s="84"/>
      <c r="X255" s="87"/>
      <c r="Y255" s="84"/>
      <c r="Z255" s="84"/>
      <c r="AA255" s="87"/>
      <c r="AB255" s="84"/>
      <c r="AC255" s="87"/>
      <c r="AD255" s="88"/>
      <c r="AE255" s="83"/>
    </row>
    <row r="256" spans="1:31" ht="65.25" thickBot="1">
      <c r="A256" s="83"/>
      <c r="B256" s="22" t="s">
        <v>29</v>
      </c>
      <c r="C256" s="86">
        <f>SUM(C255)</f>
        <v>0</v>
      </c>
      <c r="D256" s="86">
        <f>SUM(D255)</f>
        <v>0</v>
      </c>
      <c r="E256" s="86">
        <f aca="true" t="shared" si="43" ref="E256:AD256">SUM(E255)</f>
        <v>0</v>
      </c>
      <c r="F256" s="86">
        <f t="shared" si="43"/>
        <v>0</v>
      </c>
      <c r="G256" s="86">
        <f t="shared" si="43"/>
        <v>0</v>
      </c>
      <c r="H256" s="86">
        <f t="shared" si="43"/>
        <v>0</v>
      </c>
      <c r="I256" s="86">
        <f t="shared" si="43"/>
        <v>0</v>
      </c>
      <c r="J256" s="86">
        <f t="shared" si="43"/>
        <v>0</v>
      </c>
      <c r="K256" s="86">
        <f t="shared" si="43"/>
        <v>150</v>
      </c>
      <c r="L256" s="86">
        <f t="shared" si="43"/>
        <v>0</v>
      </c>
      <c r="M256" s="86">
        <f t="shared" si="43"/>
        <v>0</v>
      </c>
      <c r="N256" s="86">
        <f t="shared" si="43"/>
        <v>0</v>
      </c>
      <c r="O256" s="86">
        <f t="shared" si="43"/>
        <v>0</v>
      </c>
      <c r="P256" s="86">
        <f t="shared" si="43"/>
        <v>0</v>
      </c>
      <c r="Q256" s="86">
        <f t="shared" si="43"/>
        <v>0</v>
      </c>
      <c r="R256" s="86">
        <f t="shared" si="43"/>
        <v>0</v>
      </c>
      <c r="S256" s="86">
        <f t="shared" si="43"/>
        <v>0</v>
      </c>
      <c r="T256" s="86">
        <f t="shared" si="43"/>
        <v>0</v>
      </c>
      <c r="U256" s="86">
        <f t="shared" si="43"/>
        <v>0</v>
      </c>
      <c r="V256" s="86">
        <f t="shared" si="43"/>
        <v>0</v>
      </c>
      <c r="W256" s="86">
        <f t="shared" si="43"/>
        <v>0</v>
      </c>
      <c r="X256" s="86">
        <f t="shared" si="43"/>
        <v>0</v>
      </c>
      <c r="Y256" s="86">
        <f t="shared" si="43"/>
        <v>0</v>
      </c>
      <c r="Z256" s="86">
        <f t="shared" si="43"/>
        <v>0</v>
      </c>
      <c r="AA256" s="86">
        <f t="shared" si="43"/>
        <v>0</v>
      </c>
      <c r="AB256" s="86">
        <f t="shared" si="43"/>
        <v>0</v>
      </c>
      <c r="AC256" s="86">
        <f t="shared" si="43"/>
        <v>0</v>
      </c>
      <c r="AD256" s="87">
        <f t="shared" si="43"/>
        <v>0</v>
      </c>
      <c r="AE256" s="83">
        <f>SUM(AE255)</f>
        <v>0</v>
      </c>
    </row>
    <row r="257" spans="1:31" ht="65.25" thickBot="1">
      <c r="A257" s="150" t="s">
        <v>8</v>
      </c>
      <c r="B257" s="151"/>
      <c r="C257" s="151"/>
      <c r="D257" s="151"/>
      <c r="E257" s="151"/>
      <c r="F257" s="151"/>
      <c r="G257" s="151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  <c r="W257" s="151"/>
      <c r="X257" s="151"/>
      <c r="Y257" s="151"/>
      <c r="Z257" s="151"/>
      <c r="AA257" s="151"/>
      <c r="AB257" s="151"/>
      <c r="AC257" s="151"/>
      <c r="AD257" s="151"/>
      <c r="AE257" s="152"/>
    </row>
    <row r="258" spans="1:31" ht="65.25" thickBot="1">
      <c r="A258" s="84">
        <v>51</v>
      </c>
      <c r="B258" s="22" t="s">
        <v>226</v>
      </c>
      <c r="C258" s="84"/>
      <c r="D258" s="86"/>
      <c r="E258" s="86"/>
      <c r="F258" s="86"/>
      <c r="G258" s="86"/>
      <c r="H258" s="86"/>
      <c r="I258" s="86"/>
      <c r="J258" s="86">
        <v>56.5</v>
      </c>
      <c r="K258" s="86"/>
      <c r="L258" s="86"/>
      <c r="M258" s="86"/>
      <c r="N258" s="86"/>
      <c r="O258" s="87"/>
      <c r="P258" s="83"/>
      <c r="Q258" s="87"/>
      <c r="R258" s="83">
        <v>5</v>
      </c>
      <c r="S258" s="87"/>
      <c r="T258" s="83"/>
      <c r="U258" s="87"/>
      <c r="V258" s="84"/>
      <c r="W258" s="83"/>
      <c r="X258" s="87"/>
      <c r="Y258" s="84"/>
      <c r="Z258" s="83"/>
      <c r="AA258" s="87"/>
      <c r="AB258" s="83"/>
      <c r="AC258" s="84"/>
      <c r="AD258" s="87"/>
      <c r="AE258" s="84"/>
    </row>
    <row r="259" spans="1:31" ht="129.75" thickBot="1">
      <c r="A259" s="83">
        <v>46</v>
      </c>
      <c r="B259" s="22" t="s">
        <v>72</v>
      </c>
      <c r="C259" s="84"/>
      <c r="D259" s="86"/>
      <c r="E259" s="86"/>
      <c r="F259" s="86"/>
      <c r="G259" s="86">
        <v>5</v>
      </c>
      <c r="H259" s="86"/>
      <c r="I259" s="86">
        <v>60</v>
      </c>
      <c r="J259" s="86">
        <v>22.3</v>
      </c>
      <c r="K259" s="86"/>
      <c r="L259" s="86"/>
      <c r="M259" s="86"/>
      <c r="N259" s="86"/>
      <c r="O259" s="87"/>
      <c r="P259" s="83"/>
      <c r="Q259" s="87">
        <v>3</v>
      </c>
      <c r="R259" s="83"/>
      <c r="S259" s="87"/>
      <c r="T259" s="83"/>
      <c r="U259" s="87"/>
      <c r="V259" s="83"/>
      <c r="W259" s="83">
        <v>13</v>
      </c>
      <c r="X259" s="87"/>
      <c r="Y259" s="83"/>
      <c r="Z259" s="84">
        <v>8</v>
      </c>
      <c r="AA259" s="87"/>
      <c r="AB259" s="83"/>
      <c r="AC259" s="83"/>
      <c r="AD259" s="87"/>
      <c r="AE259" s="83"/>
    </row>
    <row r="260" spans="1:31" ht="65.25" thickBot="1">
      <c r="A260" s="83">
        <v>81</v>
      </c>
      <c r="B260" s="22" t="s">
        <v>209</v>
      </c>
      <c r="C260" s="84"/>
      <c r="D260" s="86"/>
      <c r="E260" s="86">
        <v>1.8</v>
      </c>
      <c r="F260" s="86"/>
      <c r="G260" s="86"/>
      <c r="H260" s="86"/>
      <c r="I260" s="86"/>
      <c r="J260" s="86">
        <v>186.6</v>
      </c>
      <c r="K260" s="86"/>
      <c r="L260" s="86"/>
      <c r="M260" s="86"/>
      <c r="N260" s="86"/>
      <c r="O260" s="86"/>
      <c r="P260" s="86">
        <v>4</v>
      </c>
      <c r="Q260" s="86"/>
      <c r="R260" s="86">
        <v>4</v>
      </c>
      <c r="S260" s="86"/>
      <c r="T260" s="86"/>
      <c r="U260" s="86"/>
      <c r="V260" s="86"/>
      <c r="W260" s="86">
        <v>98</v>
      </c>
      <c r="X260" s="86"/>
      <c r="Y260" s="86"/>
      <c r="Z260" s="86"/>
      <c r="AA260" s="86"/>
      <c r="AB260" s="86"/>
      <c r="AC260" s="86"/>
      <c r="AD260" s="87"/>
      <c r="AE260" s="83"/>
    </row>
    <row r="261" spans="1:31" ht="194.25" thickBot="1">
      <c r="A261" s="83">
        <v>20</v>
      </c>
      <c r="B261" s="22" t="s">
        <v>232</v>
      </c>
      <c r="C261" s="84"/>
      <c r="D261" s="85"/>
      <c r="E261" s="85"/>
      <c r="F261" s="85">
        <v>9.5</v>
      </c>
      <c r="G261" s="85"/>
      <c r="H261" s="86"/>
      <c r="I261" s="86"/>
      <c r="J261" s="86"/>
      <c r="K261" s="86"/>
      <c r="L261" s="86"/>
      <c r="M261" s="86"/>
      <c r="N261" s="86"/>
      <c r="O261" s="87"/>
      <c r="P261" s="84">
        <v>8</v>
      </c>
      <c r="Q261" s="87"/>
      <c r="R261" s="84"/>
      <c r="S261" s="87"/>
      <c r="T261" s="84"/>
      <c r="U261" s="87"/>
      <c r="V261" s="83"/>
      <c r="W261" s="84"/>
      <c r="X261" s="87"/>
      <c r="Y261" s="83"/>
      <c r="Z261" s="84"/>
      <c r="AA261" s="84"/>
      <c r="AB261" s="87"/>
      <c r="AC261" s="83"/>
      <c r="AD261" s="88"/>
      <c r="AE261" s="84"/>
    </row>
    <row r="262" spans="1:31" ht="129.75" thickBot="1">
      <c r="A262" s="83" t="s">
        <v>32</v>
      </c>
      <c r="B262" s="22" t="s">
        <v>56</v>
      </c>
      <c r="C262" s="84">
        <v>25</v>
      </c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7"/>
      <c r="V262" s="83"/>
      <c r="W262" s="86"/>
      <c r="X262" s="87"/>
      <c r="Y262" s="83"/>
      <c r="Z262" s="86"/>
      <c r="AA262" s="86"/>
      <c r="AB262" s="86"/>
      <c r="AC262" s="86"/>
      <c r="AD262" s="87"/>
      <c r="AE262" s="83"/>
    </row>
    <row r="263" spans="1:31" ht="129.75" thickBot="1">
      <c r="A263" s="83" t="s">
        <v>32</v>
      </c>
      <c r="B263" s="22" t="s">
        <v>58</v>
      </c>
      <c r="C263" s="84"/>
      <c r="D263" s="86">
        <v>50</v>
      </c>
      <c r="E263" s="86"/>
      <c r="F263" s="86"/>
      <c r="G263" s="86"/>
      <c r="H263" s="86"/>
      <c r="I263" s="85"/>
      <c r="J263" s="85"/>
      <c r="K263" s="85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85"/>
      <c r="AC263" s="85"/>
      <c r="AD263" s="91"/>
      <c r="AE263" s="84"/>
    </row>
    <row r="264" spans="1:31" ht="65.25" thickBot="1">
      <c r="A264" s="84"/>
      <c r="B264" s="25" t="s">
        <v>29</v>
      </c>
      <c r="C264" s="84">
        <f aca="true" t="shared" si="44" ref="C264:AE264">SUM(C258:C263)</f>
        <v>25</v>
      </c>
      <c r="D264" s="84">
        <f t="shared" si="44"/>
        <v>50</v>
      </c>
      <c r="E264" s="84">
        <f t="shared" si="44"/>
        <v>1.8</v>
      </c>
      <c r="F264" s="84">
        <f t="shared" si="44"/>
        <v>9.5</v>
      </c>
      <c r="G264" s="84">
        <f t="shared" si="44"/>
        <v>5</v>
      </c>
      <c r="H264" s="84">
        <f t="shared" si="44"/>
        <v>0</v>
      </c>
      <c r="I264" s="84">
        <f t="shared" si="44"/>
        <v>60</v>
      </c>
      <c r="J264" s="84">
        <f t="shared" si="44"/>
        <v>265.4</v>
      </c>
      <c r="K264" s="84">
        <f t="shared" si="44"/>
        <v>0</v>
      </c>
      <c r="L264" s="84">
        <f t="shared" si="44"/>
        <v>0</v>
      </c>
      <c r="M264" s="84">
        <f t="shared" si="44"/>
        <v>0</v>
      </c>
      <c r="N264" s="84">
        <f t="shared" si="44"/>
        <v>0</v>
      </c>
      <c r="O264" s="84">
        <f t="shared" si="44"/>
        <v>0</v>
      </c>
      <c r="P264" s="84">
        <f t="shared" si="44"/>
        <v>12</v>
      </c>
      <c r="Q264" s="84">
        <f t="shared" si="44"/>
        <v>3</v>
      </c>
      <c r="R264" s="84">
        <f t="shared" si="44"/>
        <v>9</v>
      </c>
      <c r="S264" s="84">
        <f t="shared" si="44"/>
        <v>0</v>
      </c>
      <c r="T264" s="84">
        <f t="shared" si="44"/>
        <v>0</v>
      </c>
      <c r="U264" s="84">
        <f t="shared" si="44"/>
        <v>0</v>
      </c>
      <c r="V264" s="84">
        <f t="shared" si="44"/>
        <v>0</v>
      </c>
      <c r="W264" s="84">
        <f t="shared" si="44"/>
        <v>111</v>
      </c>
      <c r="X264" s="84">
        <f t="shared" si="44"/>
        <v>0</v>
      </c>
      <c r="Y264" s="84">
        <f t="shared" si="44"/>
        <v>0</v>
      </c>
      <c r="Z264" s="84">
        <f t="shared" si="44"/>
        <v>8</v>
      </c>
      <c r="AA264" s="84">
        <f t="shared" si="44"/>
        <v>0</v>
      </c>
      <c r="AB264" s="84">
        <f t="shared" si="44"/>
        <v>0</v>
      </c>
      <c r="AC264" s="84">
        <f t="shared" si="44"/>
        <v>0</v>
      </c>
      <c r="AD264" s="88">
        <f t="shared" si="44"/>
        <v>0</v>
      </c>
      <c r="AE264" s="84">
        <f t="shared" si="44"/>
        <v>0</v>
      </c>
    </row>
    <row r="265" spans="1:31" ht="65.25" thickBot="1">
      <c r="A265" s="150" t="s">
        <v>145</v>
      </c>
      <c r="B265" s="151"/>
      <c r="C265" s="151"/>
      <c r="D265" s="151"/>
      <c r="E265" s="151"/>
      <c r="F265" s="151"/>
      <c r="G265" s="151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  <c r="W265" s="151"/>
      <c r="X265" s="151"/>
      <c r="Y265" s="151"/>
      <c r="Z265" s="151"/>
      <c r="AA265" s="151"/>
      <c r="AB265" s="151"/>
      <c r="AC265" s="151"/>
      <c r="AD265" s="151"/>
      <c r="AE265" s="152"/>
    </row>
    <row r="266" spans="1:31" ht="129.75" thickBot="1">
      <c r="A266" s="92">
        <v>21.1</v>
      </c>
      <c r="B266" s="27" t="s">
        <v>172</v>
      </c>
      <c r="C266" s="83"/>
      <c r="D266" s="86"/>
      <c r="E266" s="83"/>
      <c r="F266" s="83"/>
      <c r="G266" s="83"/>
      <c r="H266" s="86"/>
      <c r="I266" s="86"/>
      <c r="J266" s="86"/>
      <c r="K266" s="86"/>
      <c r="L266" s="86"/>
      <c r="M266" s="86"/>
      <c r="N266" s="86"/>
      <c r="O266" s="87"/>
      <c r="P266" s="84"/>
      <c r="Q266" s="87"/>
      <c r="R266" s="84"/>
      <c r="S266" s="87"/>
      <c r="T266" s="84">
        <v>185</v>
      </c>
      <c r="U266" s="87"/>
      <c r="V266" s="84"/>
      <c r="W266" s="84"/>
      <c r="X266" s="87"/>
      <c r="Y266" s="84"/>
      <c r="Z266" s="84"/>
      <c r="AA266" s="87"/>
      <c r="AB266" s="84"/>
      <c r="AC266" s="87"/>
      <c r="AD266" s="88"/>
      <c r="AE266" s="83"/>
    </row>
    <row r="267" spans="1:31" ht="65.25" thickBot="1">
      <c r="A267" s="83">
        <v>36</v>
      </c>
      <c r="B267" s="22" t="s">
        <v>57</v>
      </c>
      <c r="C267" s="84"/>
      <c r="D267" s="86"/>
      <c r="E267" s="86">
        <v>43</v>
      </c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>
        <v>10</v>
      </c>
      <c r="Q267" s="86">
        <v>3</v>
      </c>
      <c r="R267" s="86">
        <v>1</v>
      </c>
      <c r="S267" s="86">
        <v>10</v>
      </c>
      <c r="T267" s="86"/>
      <c r="U267" s="86"/>
      <c r="V267" s="86"/>
      <c r="W267" s="86"/>
      <c r="X267" s="86"/>
      <c r="Y267" s="86"/>
      <c r="Z267" s="86">
        <v>27</v>
      </c>
      <c r="AA267" s="86"/>
      <c r="AB267" s="86"/>
      <c r="AC267" s="86"/>
      <c r="AD267" s="87"/>
      <c r="AE267" s="83"/>
    </row>
    <row r="268" spans="1:31" ht="65.25" thickBot="1">
      <c r="A268" s="84"/>
      <c r="B268" s="22" t="s">
        <v>29</v>
      </c>
      <c r="C268" s="84">
        <f aca="true" t="shared" si="45" ref="C268:AE268">C266+C267</f>
        <v>0</v>
      </c>
      <c r="D268" s="84">
        <f t="shared" si="45"/>
        <v>0</v>
      </c>
      <c r="E268" s="84">
        <f t="shared" si="45"/>
        <v>43</v>
      </c>
      <c r="F268" s="84">
        <f t="shared" si="45"/>
        <v>0</v>
      </c>
      <c r="G268" s="84">
        <f t="shared" si="45"/>
        <v>0</v>
      </c>
      <c r="H268" s="84">
        <f t="shared" si="45"/>
        <v>0</v>
      </c>
      <c r="I268" s="84">
        <f t="shared" si="45"/>
        <v>0</v>
      </c>
      <c r="J268" s="84">
        <f t="shared" si="45"/>
        <v>0</v>
      </c>
      <c r="K268" s="84">
        <f t="shared" si="45"/>
        <v>0</v>
      </c>
      <c r="L268" s="84">
        <f t="shared" si="45"/>
        <v>0</v>
      </c>
      <c r="M268" s="84">
        <f t="shared" si="45"/>
        <v>0</v>
      </c>
      <c r="N268" s="84">
        <f t="shared" si="45"/>
        <v>0</v>
      </c>
      <c r="O268" s="84">
        <f t="shared" si="45"/>
        <v>0</v>
      </c>
      <c r="P268" s="84">
        <f t="shared" si="45"/>
        <v>10</v>
      </c>
      <c r="Q268" s="84">
        <f t="shared" si="45"/>
        <v>3</v>
      </c>
      <c r="R268" s="84">
        <f t="shared" si="45"/>
        <v>1</v>
      </c>
      <c r="S268" s="84">
        <f t="shared" si="45"/>
        <v>10</v>
      </c>
      <c r="T268" s="84">
        <f t="shared" si="45"/>
        <v>185</v>
      </c>
      <c r="U268" s="84">
        <f t="shared" si="45"/>
        <v>0</v>
      </c>
      <c r="V268" s="84">
        <f t="shared" si="45"/>
        <v>0</v>
      </c>
      <c r="W268" s="84">
        <f t="shared" si="45"/>
        <v>0</v>
      </c>
      <c r="X268" s="84">
        <f t="shared" si="45"/>
        <v>0</v>
      </c>
      <c r="Y268" s="84">
        <f t="shared" si="45"/>
        <v>0</v>
      </c>
      <c r="Z268" s="84">
        <f t="shared" si="45"/>
        <v>27</v>
      </c>
      <c r="AA268" s="84">
        <f t="shared" si="45"/>
        <v>0</v>
      </c>
      <c r="AB268" s="84">
        <f t="shared" si="45"/>
        <v>0</v>
      </c>
      <c r="AC268" s="84">
        <f t="shared" si="45"/>
        <v>0</v>
      </c>
      <c r="AD268" s="84">
        <f t="shared" si="45"/>
        <v>0</v>
      </c>
      <c r="AE268" s="84">
        <f t="shared" si="45"/>
        <v>0</v>
      </c>
    </row>
    <row r="269" spans="1:31" ht="65.25" thickBot="1">
      <c r="A269" s="150" t="s">
        <v>144</v>
      </c>
      <c r="B269" s="151"/>
      <c r="C269" s="151"/>
      <c r="D269" s="151"/>
      <c r="E269" s="151"/>
      <c r="F269" s="151"/>
      <c r="G269" s="151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  <c r="W269" s="151"/>
      <c r="X269" s="151"/>
      <c r="Y269" s="151"/>
      <c r="Z269" s="151"/>
      <c r="AA269" s="151"/>
      <c r="AB269" s="151"/>
      <c r="AC269" s="151"/>
      <c r="AD269" s="151"/>
      <c r="AE269" s="152"/>
    </row>
    <row r="270" spans="1:31" ht="65.25" thickBot="1">
      <c r="A270" s="83">
        <v>1</v>
      </c>
      <c r="B270" s="25" t="s">
        <v>42</v>
      </c>
      <c r="C270" s="84"/>
      <c r="D270" s="86"/>
      <c r="E270" s="86"/>
      <c r="F270" s="86"/>
      <c r="G270" s="86">
        <v>11</v>
      </c>
      <c r="H270" s="86"/>
      <c r="I270" s="86"/>
      <c r="J270" s="86"/>
      <c r="K270" s="86"/>
      <c r="L270" s="86"/>
      <c r="M270" s="86"/>
      <c r="N270" s="86"/>
      <c r="O270" s="83"/>
      <c r="P270" s="87">
        <v>5</v>
      </c>
      <c r="Q270" s="83">
        <v>2</v>
      </c>
      <c r="R270" s="87"/>
      <c r="S270" s="83"/>
      <c r="T270" s="87">
        <v>162</v>
      </c>
      <c r="U270" s="83"/>
      <c r="V270" s="87"/>
      <c r="W270" s="84"/>
      <c r="X270" s="87"/>
      <c r="Y270" s="83"/>
      <c r="Z270" s="87"/>
      <c r="AA270" s="83"/>
      <c r="AB270" s="87"/>
      <c r="AC270" s="84"/>
      <c r="AD270" s="90"/>
      <c r="AE270" s="83"/>
    </row>
    <row r="271" spans="1:31" ht="129.75" thickBot="1">
      <c r="A271" s="83" t="s">
        <v>32</v>
      </c>
      <c r="B271" s="22" t="s">
        <v>56</v>
      </c>
      <c r="C271" s="84">
        <v>25</v>
      </c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7"/>
      <c r="V271" s="83"/>
      <c r="W271" s="86"/>
      <c r="X271" s="87"/>
      <c r="Y271" s="83"/>
      <c r="Z271" s="86"/>
      <c r="AA271" s="86"/>
      <c r="AB271" s="86"/>
      <c r="AC271" s="86"/>
      <c r="AD271" s="87"/>
      <c r="AE271" s="83"/>
    </row>
    <row r="272" spans="1:31" ht="65.25" thickBot="1">
      <c r="A272" s="83">
        <v>76</v>
      </c>
      <c r="B272" s="23" t="s">
        <v>171</v>
      </c>
      <c r="C272" s="84"/>
      <c r="D272" s="85"/>
      <c r="E272" s="85"/>
      <c r="F272" s="85"/>
      <c r="G272" s="85"/>
      <c r="H272" s="86"/>
      <c r="I272" s="86"/>
      <c r="J272" s="86"/>
      <c r="K272" s="86"/>
      <c r="L272" s="86"/>
      <c r="M272" s="86"/>
      <c r="N272" s="86"/>
      <c r="O272" s="87"/>
      <c r="P272" s="84">
        <v>10</v>
      </c>
      <c r="Q272" s="87"/>
      <c r="R272" s="84"/>
      <c r="S272" s="87"/>
      <c r="T272" s="84">
        <v>80</v>
      </c>
      <c r="U272" s="84"/>
      <c r="V272" s="87"/>
      <c r="W272" s="84"/>
      <c r="X272" s="87"/>
      <c r="Y272" s="84"/>
      <c r="Z272" s="84"/>
      <c r="AA272" s="87"/>
      <c r="AB272" s="84">
        <v>0.58</v>
      </c>
      <c r="AC272" s="84"/>
      <c r="AD272" s="87"/>
      <c r="AE272" s="83"/>
    </row>
    <row r="273" spans="1:31" ht="129.75" thickBot="1">
      <c r="A273" s="83">
        <v>69</v>
      </c>
      <c r="B273" s="22" t="s">
        <v>106</v>
      </c>
      <c r="C273" s="84"/>
      <c r="D273" s="86"/>
      <c r="E273" s="86"/>
      <c r="F273" s="86"/>
      <c r="G273" s="86"/>
      <c r="H273" s="86"/>
      <c r="I273" s="86"/>
      <c r="J273" s="86"/>
      <c r="K273" s="86"/>
      <c r="L273" s="86"/>
      <c r="M273" s="86">
        <v>85</v>
      </c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7"/>
      <c r="AE273" s="84"/>
    </row>
    <row r="274" spans="1:31" ht="65.25" thickBot="1">
      <c r="A274" s="80"/>
      <c r="B274" s="22" t="s">
        <v>6</v>
      </c>
      <c r="C274" s="84">
        <f>C270+C271+C272+C273</f>
        <v>25</v>
      </c>
      <c r="D274" s="84">
        <f aca="true" t="shared" si="46" ref="D274:AE274">D270+D271+D272+D273</f>
        <v>0</v>
      </c>
      <c r="E274" s="84">
        <f t="shared" si="46"/>
        <v>0</v>
      </c>
      <c r="F274" s="84">
        <f t="shared" si="46"/>
        <v>0</v>
      </c>
      <c r="G274" s="84">
        <f t="shared" si="46"/>
        <v>11</v>
      </c>
      <c r="H274" s="84">
        <f t="shared" si="46"/>
        <v>0</v>
      </c>
      <c r="I274" s="84">
        <f t="shared" si="46"/>
        <v>0</v>
      </c>
      <c r="J274" s="84">
        <f t="shared" si="46"/>
        <v>0</v>
      </c>
      <c r="K274" s="84">
        <f t="shared" si="46"/>
        <v>0</v>
      </c>
      <c r="L274" s="84">
        <f t="shared" si="46"/>
        <v>0</v>
      </c>
      <c r="M274" s="84">
        <f t="shared" si="46"/>
        <v>85</v>
      </c>
      <c r="N274" s="84">
        <f t="shared" si="46"/>
        <v>0</v>
      </c>
      <c r="O274" s="84">
        <f t="shared" si="46"/>
        <v>0</v>
      </c>
      <c r="P274" s="84">
        <f t="shared" si="46"/>
        <v>15</v>
      </c>
      <c r="Q274" s="84">
        <f t="shared" si="46"/>
        <v>2</v>
      </c>
      <c r="R274" s="84">
        <f t="shared" si="46"/>
        <v>0</v>
      </c>
      <c r="S274" s="84">
        <f t="shared" si="46"/>
        <v>0</v>
      </c>
      <c r="T274" s="84">
        <f t="shared" si="46"/>
        <v>242</v>
      </c>
      <c r="U274" s="84">
        <f t="shared" si="46"/>
        <v>0</v>
      </c>
      <c r="V274" s="84">
        <f t="shared" si="46"/>
        <v>0</v>
      </c>
      <c r="W274" s="84">
        <f t="shared" si="46"/>
        <v>0</v>
      </c>
      <c r="X274" s="84">
        <f t="shared" si="46"/>
        <v>0</v>
      </c>
      <c r="Y274" s="84">
        <f t="shared" si="46"/>
        <v>0</v>
      </c>
      <c r="Z274" s="84">
        <f t="shared" si="46"/>
        <v>0</v>
      </c>
      <c r="AA274" s="84">
        <f t="shared" si="46"/>
        <v>0</v>
      </c>
      <c r="AB274" s="84">
        <f t="shared" si="46"/>
        <v>0.58</v>
      </c>
      <c r="AC274" s="84">
        <f t="shared" si="46"/>
        <v>0</v>
      </c>
      <c r="AD274" s="84">
        <f t="shared" si="46"/>
        <v>0</v>
      </c>
      <c r="AE274" s="84">
        <f t="shared" si="46"/>
        <v>0</v>
      </c>
    </row>
    <row r="275" spans="1:31" ht="194.25" thickBot="1">
      <c r="A275" s="145"/>
      <c r="B275" s="22" t="s">
        <v>150</v>
      </c>
      <c r="C275" s="84"/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8"/>
      <c r="AE275" s="84"/>
    </row>
    <row r="276" spans="1:31" ht="65.25" thickBot="1">
      <c r="A276" s="83"/>
      <c r="B276" s="93" t="s">
        <v>10</v>
      </c>
      <c r="C276" s="84">
        <f aca="true" t="shared" si="47" ref="C276:AE276">C253+C256+C264+C268+C274</f>
        <v>75</v>
      </c>
      <c r="D276" s="84">
        <f t="shared" si="47"/>
        <v>50</v>
      </c>
      <c r="E276" s="84">
        <f t="shared" si="47"/>
        <v>44.8</v>
      </c>
      <c r="F276" s="84">
        <f t="shared" si="47"/>
        <v>9.5</v>
      </c>
      <c r="G276" s="84">
        <f t="shared" si="47"/>
        <v>34</v>
      </c>
      <c r="H276" s="84">
        <f t="shared" si="47"/>
        <v>0</v>
      </c>
      <c r="I276" s="84">
        <f t="shared" si="47"/>
        <v>60</v>
      </c>
      <c r="J276" s="84">
        <f t="shared" si="47"/>
        <v>265.4</v>
      </c>
      <c r="K276" s="84">
        <f t="shared" si="47"/>
        <v>150</v>
      </c>
      <c r="L276" s="84">
        <f t="shared" si="47"/>
        <v>0</v>
      </c>
      <c r="M276" s="84">
        <f t="shared" si="47"/>
        <v>85</v>
      </c>
      <c r="N276" s="84">
        <f t="shared" si="47"/>
        <v>0</v>
      </c>
      <c r="O276" s="84">
        <f t="shared" si="47"/>
        <v>0</v>
      </c>
      <c r="P276" s="84">
        <f t="shared" si="47"/>
        <v>53</v>
      </c>
      <c r="Q276" s="84">
        <f t="shared" si="47"/>
        <v>15</v>
      </c>
      <c r="R276" s="84">
        <f t="shared" si="47"/>
        <v>10</v>
      </c>
      <c r="S276" s="84">
        <f t="shared" si="47"/>
        <v>10</v>
      </c>
      <c r="T276" s="84">
        <f t="shared" si="47"/>
        <v>663</v>
      </c>
      <c r="U276" s="84">
        <f t="shared" si="47"/>
        <v>0</v>
      </c>
      <c r="V276" s="84">
        <f t="shared" si="47"/>
        <v>0</v>
      </c>
      <c r="W276" s="84">
        <f t="shared" si="47"/>
        <v>111</v>
      </c>
      <c r="X276" s="84">
        <f t="shared" si="47"/>
        <v>0</v>
      </c>
      <c r="Y276" s="84">
        <f t="shared" si="47"/>
        <v>0</v>
      </c>
      <c r="Z276" s="84">
        <f t="shared" si="47"/>
        <v>35</v>
      </c>
      <c r="AA276" s="84">
        <f t="shared" si="47"/>
        <v>13</v>
      </c>
      <c r="AB276" s="84">
        <f t="shared" si="47"/>
        <v>0.58</v>
      </c>
      <c r="AC276" s="84">
        <f t="shared" si="47"/>
        <v>2.4</v>
      </c>
      <c r="AD276" s="84">
        <f t="shared" si="47"/>
        <v>0</v>
      </c>
      <c r="AE276" s="84">
        <f t="shared" si="47"/>
        <v>0</v>
      </c>
    </row>
    <row r="277" spans="1:31" ht="65.25" thickBot="1">
      <c r="A277" s="150" t="s">
        <v>60</v>
      </c>
      <c r="B277" s="151"/>
      <c r="C277" s="151"/>
      <c r="D277" s="151"/>
      <c r="E277" s="151"/>
      <c r="F277" s="151"/>
      <c r="G277" s="151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  <c r="W277" s="151"/>
      <c r="X277" s="151"/>
      <c r="Y277" s="151"/>
      <c r="Z277" s="151"/>
      <c r="AA277" s="151"/>
      <c r="AB277" s="151"/>
      <c r="AC277" s="151"/>
      <c r="AD277" s="151"/>
      <c r="AE277" s="152"/>
    </row>
    <row r="278" spans="1:31" ht="65.25" thickBot="1">
      <c r="A278" s="150" t="s">
        <v>21</v>
      </c>
      <c r="B278" s="151"/>
      <c r="C278" s="151"/>
      <c r="D278" s="151"/>
      <c r="E278" s="151"/>
      <c r="F278" s="151"/>
      <c r="G278" s="151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  <c r="W278" s="151"/>
      <c r="X278" s="151"/>
      <c r="Y278" s="151"/>
      <c r="Z278" s="151"/>
      <c r="AA278" s="151"/>
      <c r="AB278" s="151"/>
      <c r="AC278" s="151"/>
      <c r="AD278" s="151"/>
      <c r="AE278" s="152"/>
    </row>
    <row r="279" spans="1:31" ht="45.75" customHeight="1">
      <c r="A279" s="166" t="s">
        <v>30</v>
      </c>
      <c r="B279" s="168" t="s">
        <v>23</v>
      </c>
      <c r="C279" s="153" t="s">
        <v>116</v>
      </c>
      <c r="D279" s="153" t="s">
        <v>117</v>
      </c>
      <c r="E279" s="153" t="s">
        <v>130</v>
      </c>
      <c r="F279" s="153" t="s">
        <v>119</v>
      </c>
      <c r="G279" s="153" t="s">
        <v>131</v>
      </c>
      <c r="H279" s="153" t="s">
        <v>132</v>
      </c>
      <c r="I279" s="153" t="s">
        <v>110</v>
      </c>
      <c r="J279" s="153" t="s">
        <v>257</v>
      </c>
      <c r="K279" s="140"/>
      <c r="L279" s="140"/>
      <c r="M279" s="153" t="s">
        <v>142</v>
      </c>
      <c r="N279" s="153" t="s">
        <v>79</v>
      </c>
      <c r="O279" s="153" t="s">
        <v>139</v>
      </c>
      <c r="P279" s="153" t="s">
        <v>80</v>
      </c>
      <c r="Q279" s="153" t="s">
        <v>124</v>
      </c>
      <c r="R279" s="153" t="s">
        <v>81</v>
      </c>
      <c r="S279" s="153" t="s">
        <v>134</v>
      </c>
      <c r="T279" s="153" t="s">
        <v>135</v>
      </c>
      <c r="U279" s="153" t="s">
        <v>136</v>
      </c>
      <c r="V279" s="140"/>
      <c r="W279" s="153" t="s">
        <v>113</v>
      </c>
      <c r="X279" s="153" t="s">
        <v>129</v>
      </c>
      <c r="Y279" s="153" t="s">
        <v>84</v>
      </c>
      <c r="Z279" s="153" t="s">
        <v>82</v>
      </c>
      <c r="AA279" s="153" t="s">
        <v>83</v>
      </c>
      <c r="AB279" s="153" t="s">
        <v>85</v>
      </c>
      <c r="AC279" s="140"/>
      <c r="AD279" s="158" t="s">
        <v>78</v>
      </c>
      <c r="AE279" s="153" t="s">
        <v>137</v>
      </c>
    </row>
    <row r="280" spans="1:31" ht="409.5" customHeight="1" thickBot="1">
      <c r="A280" s="167"/>
      <c r="B280" s="169"/>
      <c r="C280" s="154"/>
      <c r="D280" s="154"/>
      <c r="E280" s="154"/>
      <c r="F280" s="154"/>
      <c r="G280" s="154"/>
      <c r="H280" s="154"/>
      <c r="I280" s="154"/>
      <c r="J280" s="154"/>
      <c r="K280" s="141" t="s">
        <v>133</v>
      </c>
      <c r="L280" s="141" t="s">
        <v>143</v>
      </c>
      <c r="M280" s="154"/>
      <c r="N280" s="154"/>
      <c r="O280" s="154"/>
      <c r="P280" s="154"/>
      <c r="Q280" s="154"/>
      <c r="R280" s="154"/>
      <c r="S280" s="154"/>
      <c r="T280" s="154"/>
      <c r="U280" s="154"/>
      <c r="V280" s="141" t="s">
        <v>140</v>
      </c>
      <c r="W280" s="154"/>
      <c r="X280" s="154"/>
      <c r="Y280" s="154"/>
      <c r="Z280" s="154"/>
      <c r="AA280" s="154"/>
      <c r="AB280" s="154"/>
      <c r="AC280" s="141" t="s">
        <v>77</v>
      </c>
      <c r="AD280" s="159"/>
      <c r="AE280" s="154"/>
    </row>
    <row r="281" spans="1:31" ht="65.25" thickBot="1">
      <c r="A281" s="145">
        <v>1</v>
      </c>
      <c r="B281" s="79">
        <v>2</v>
      </c>
      <c r="C281" s="80" t="s">
        <v>54</v>
      </c>
      <c r="D281" s="81">
        <v>4</v>
      </c>
      <c r="E281" s="80">
        <v>5</v>
      </c>
      <c r="F281" s="80">
        <v>6</v>
      </c>
      <c r="G281" s="80">
        <v>7</v>
      </c>
      <c r="H281" s="80">
        <v>8</v>
      </c>
      <c r="I281" s="80" t="s">
        <v>55</v>
      </c>
      <c r="J281" s="81">
        <v>10</v>
      </c>
      <c r="K281" s="80">
        <v>11</v>
      </c>
      <c r="L281" s="108">
        <v>12</v>
      </c>
      <c r="M281" s="80">
        <v>13</v>
      </c>
      <c r="N281" s="80">
        <v>14</v>
      </c>
      <c r="O281" s="80">
        <v>15</v>
      </c>
      <c r="P281" s="80">
        <v>16</v>
      </c>
      <c r="Q281" s="143">
        <v>17</v>
      </c>
      <c r="R281" s="80">
        <v>18</v>
      </c>
      <c r="S281" s="143">
        <v>19</v>
      </c>
      <c r="T281" s="80">
        <v>20</v>
      </c>
      <c r="U281" s="143">
        <v>21</v>
      </c>
      <c r="V281" s="143">
        <v>22</v>
      </c>
      <c r="W281" s="80">
        <v>23</v>
      </c>
      <c r="X281" s="80">
        <v>24</v>
      </c>
      <c r="Y281" s="143">
        <v>25</v>
      </c>
      <c r="Z281" s="80">
        <v>26</v>
      </c>
      <c r="AA281" s="80">
        <v>27</v>
      </c>
      <c r="AB281" s="80">
        <v>28</v>
      </c>
      <c r="AC281" s="143">
        <v>29</v>
      </c>
      <c r="AD281" s="142">
        <v>30</v>
      </c>
      <c r="AE281" s="80">
        <v>32</v>
      </c>
    </row>
    <row r="282" spans="1:31" ht="65.25" thickBot="1">
      <c r="A282" s="150" t="s">
        <v>5</v>
      </c>
      <c r="B282" s="151"/>
      <c r="C282" s="151"/>
      <c r="D282" s="151"/>
      <c r="E282" s="151"/>
      <c r="F282" s="151"/>
      <c r="G282" s="151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  <c r="W282" s="151"/>
      <c r="X282" s="151"/>
      <c r="Y282" s="151"/>
      <c r="Z282" s="151"/>
      <c r="AA282" s="151"/>
      <c r="AB282" s="151"/>
      <c r="AC282" s="151"/>
      <c r="AD282" s="151"/>
      <c r="AE282" s="152"/>
    </row>
    <row r="283" spans="1:31" s="82" customFormat="1" ht="129.75" thickBot="1">
      <c r="A283" s="84">
        <v>50</v>
      </c>
      <c r="B283" s="25" t="s">
        <v>205</v>
      </c>
      <c r="C283" s="84"/>
      <c r="D283" s="85"/>
      <c r="E283" s="85"/>
      <c r="F283" s="85"/>
      <c r="G283" s="85">
        <v>23</v>
      </c>
      <c r="H283" s="86"/>
      <c r="I283" s="86"/>
      <c r="J283" s="86"/>
      <c r="K283" s="86"/>
      <c r="L283" s="86"/>
      <c r="M283" s="86"/>
      <c r="N283" s="86"/>
      <c r="O283" s="87"/>
      <c r="P283" s="84">
        <v>5</v>
      </c>
      <c r="Q283" s="87">
        <v>2</v>
      </c>
      <c r="R283" s="84"/>
      <c r="S283" s="87"/>
      <c r="T283" s="84">
        <v>136</v>
      </c>
      <c r="U283" s="87"/>
      <c r="V283" s="84"/>
      <c r="W283" s="84"/>
      <c r="X283" s="84"/>
      <c r="Y283" s="87"/>
      <c r="Z283" s="84"/>
      <c r="AA283" s="84"/>
      <c r="AB283" s="84"/>
      <c r="AC283" s="87"/>
      <c r="AD283" s="88"/>
      <c r="AE283" s="84"/>
    </row>
    <row r="284" spans="1:31" s="82" customFormat="1" ht="65.25" thickBot="1">
      <c r="A284" s="83">
        <v>15</v>
      </c>
      <c r="B284" s="22" t="s">
        <v>224</v>
      </c>
      <c r="C284" s="84"/>
      <c r="D284" s="85"/>
      <c r="E284" s="85"/>
      <c r="F284" s="85"/>
      <c r="G284" s="85"/>
      <c r="H284" s="86"/>
      <c r="I284" s="86"/>
      <c r="J284" s="86"/>
      <c r="K284" s="86"/>
      <c r="L284" s="86"/>
      <c r="M284" s="86"/>
      <c r="N284" s="86"/>
      <c r="O284" s="87"/>
      <c r="P284" s="84">
        <v>11</v>
      </c>
      <c r="Q284" s="87"/>
      <c r="R284" s="84"/>
      <c r="S284" s="87"/>
      <c r="T284" s="84">
        <v>100</v>
      </c>
      <c r="U284" s="87"/>
      <c r="V284" s="83"/>
      <c r="W284" s="84"/>
      <c r="X284" s="83"/>
      <c r="Y284" s="87"/>
      <c r="Z284" s="84"/>
      <c r="AA284" s="84"/>
      <c r="AB284" s="87"/>
      <c r="AC284" s="83"/>
      <c r="AD284" s="88">
        <v>1.3</v>
      </c>
      <c r="AE284" s="84"/>
    </row>
    <row r="285" spans="1:31" ht="65.25" thickBot="1">
      <c r="A285" s="83">
        <v>16</v>
      </c>
      <c r="B285" s="22" t="s">
        <v>36</v>
      </c>
      <c r="C285" s="86">
        <v>25</v>
      </c>
      <c r="D285" s="85"/>
      <c r="E285" s="85"/>
      <c r="F285" s="85"/>
      <c r="G285" s="85"/>
      <c r="H285" s="86"/>
      <c r="I285" s="86"/>
      <c r="J285" s="86"/>
      <c r="K285" s="86"/>
      <c r="L285" s="86"/>
      <c r="M285" s="86"/>
      <c r="N285" s="86"/>
      <c r="O285" s="87"/>
      <c r="P285" s="84"/>
      <c r="Q285" s="84">
        <v>5</v>
      </c>
      <c r="R285" s="84"/>
      <c r="S285" s="87"/>
      <c r="T285" s="84"/>
      <c r="U285" s="87"/>
      <c r="V285" s="83"/>
      <c r="W285" s="84"/>
      <c r="X285" s="83"/>
      <c r="Y285" s="87"/>
      <c r="Z285" s="84"/>
      <c r="AA285" s="84"/>
      <c r="AB285" s="87"/>
      <c r="AC285" s="83"/>
      <c r="AD285" s="88"/>
      <c r="AE285" s="84"/>
    </row>
    <row r="286" spans="1:31" ht="65.25" thickBot="1">
      <c r="A286" s="83"/>
      <c r="B286" s="22" t="s">
        <v>6</v>
      </c>
      <c r="C286" s="84">
        <f aca="true" t="shared" si="48" ref="C286:AE286">SUM(C283:C285)</f>
        <v>25</v>
      </c>
      <c r="D286" s="84">
        <f t="shared" si="48"/>
        <v>0</v>
      </c>
      <c r="E286" s="84">
        <f t="shared" si="48"/>
        <v>0</v>
      </c>
      <c r="F286" s="84">
        <f t="shared" si="48"/>
        <v>0</v>
      </c>
      <c r="G286" s="84">
        <f t="shared" si="48"/>
        <v>23</v>
      </c>
      <c r="H286" s="84">
        <f t="shared" si="48"/>
        <v>0</v>
      </c>
      <c r="I286" s="84">
        <f t="shared" si="48"/>
        <v>0</v>
      </c>
      <c r="J286" s="84">
        <f t="shared" si="48"/>
        <v>0</v>
      </c>
      <c r="K286" s="84">
        <f t="shared" si="48"/>
        <v>0</v>
      </c>
      <c r="L286" s="84">
        <f t="shared" si="48"/>
        <v>0</v>
      </c>
      <c r="M286" s="84">
        <f t="shared" si="48"/>
        <v>0</v>
      </c>
      <c r="N286" s="84">
        <f t="shared" si="48"/>
        <v>0</v>
      </c>
      <c r="O286" s="84">
        <f t="shared" si="48"/>
        <v>0</v>
      </c>
      <c r="P286" s="84">
        <f t="shared" si="48"/>
        <v>16</v>
      </c>
      <c r="Q286" s="84">
        <f t="shared" si="48"/>
        <v>7</v>
      </c>
      <c r="R286" s="84">
        <f t="shared" si="48"/>
        <v>0</v>
      </c>
      <c r="S286" s="84">
        <f t="shared" si="48"/>
        <v>0</v>
      </c>
      <c r="T286" s="84">
        <f t="shared" si="48"/>
        <v>236</v>
      </c>
      <c r="U286" s="84">
        <f t="shared" si="48"/>
        <v>0</v>
      </c>
      <c r="V286" s="84">
        <f t="shared" si="48"/>
        <v>0</v>
      </c>
      <c r="W286" s="84">
        <f t="shared" si="48"/>
        <v>0</v>
      </c>
      <c r="X286" s="84">
        <f t="shared" si="48"/>
        <v>0</v>
      </c>
      <c r="Y286" s="84">
        <f t="shared" si="48"/>
        <v>0</v>
      </c>
      <c r="Z286" s="84">
        <f t="shared" si="48"/>
        <v>0</v>
      </c>
      <c r="AA286" s="84">
        <f t="shared" si="48"/>
        <v>0</v>
      </c>
      <c r="AB286" s="84">
        <f t="shared" si="48"/>
        <v>0</v>
      </c>
      <c r="AC286" s="84">
        <f t="shared" si="48"/>
        <v>0</v>
      </c>
      <c r="AD286" s="88">
        <f t="shared" si="48"/>
        <v>1.3</v>
      </c>
      <c r="AE286" s="84">
        <f t="shared" si="48"/>
        <v>0</v>
      </c>
    </row>
    <row r="287" spans="1:31" ht="65.25" thickBot="1">
      <c r="A287" s="155" t="s">
        <v>53</v>
      </c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6"/>
      <c r="N287" s="156"/>
      <c r="O287" s="156"/>
      <c r="P287" s="156"/>
      <c r="Q287" s="156"/>
      <c r="R287" s="156"/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7"/>
    </row>
    <row r="288" spans="1:31" ht="65.25" thickBot="1">
      <c r="A288" s="83" t="s">
        <v>32</v>
      </c>
      <c r="B288" s="25" t="s">
        <v>182</v>
      </c>
      <c r="C288" s="84"/>
      <c r="D288" s="86"/>
      <c r="E288" s="86"/>
      <c r="F288" s="86"/>
      <c r="G288" s="86"/>
      <c r="H288" s="86"/>
      <c r="I288" s="86"/>
      <c r="J288" s="86"/>
      <c r="K288" s="86">
        <v>150</v>
      </c>
      <c r="L288" s="86"/>
      <c r="M288" s="86"/>
      <c r="N288" s="86"/>
      <c r="O288" s="87"/>
      <c r="P288" s="84"/>
      <c r="Q288" s="87"/>
      <c r="R288" s="84"/>
      <c r="S288" s="87"/>
      <c r="T288" s="84"/>
      <c r="U288" s="87"/>
      <c r="V288" s="84"/>
      <c r="W288" s="84"/>
      <c r="X288" s="87"/>
      <c r="Y288" s="84"/>
      <c r="Z288" s="84"/>
      <c r="AA288" s="87"/>
      <c r="AB288" s="84"/>
      <c r="AC288" s="87"/>
      <c r="AD288" s="88"/>
      <c r="AE288" s="83"/>
    </row>
    <row r="289" spans="1:31" ht="65.25" thickBot="1">
      <c r="A289" s="83"/>
      <c r="B289" s="22" t="s">
        <v>29</v>
      </c>
      <c r="C289" s="86">
        <f>SUM(C288)</f>
        <v>0</v>
      </c>
      <c r="D289" s="86">
        <f>SUM(D288)</f>
        <v>0</v>
      </c>
      <c r="E289" s="86">
        <f aca="true" t="shared" si="49" ref="E289:AD289">SUM(E288)</f>
        <v>0</v>
      </c>
      <c r="F289" s="86">
        <f t="shared" si="49"/>
        <v>0</v>
      </c>
      <c r="G289" s="86">
        <f t="shared" si="49"/>
        <v>0</v>
      </c>
      <c r="H289" s="86">
        <f t="shared" si="49"/>
        <v>0</v>
      </c>
      <c r="I289" s="86">
        <f t="shared" si="49"/>
        <v>0</v>
      </c>
      <c r="J289" s="86">
        <f t="shared" si="49"/>
        <v>0</v>
      </c>
      <c r="K289" s="86">
        <f t="shared" si="49"/>
        <v>150</v>
      </c>
      <c r="L289" s="86">
        <f t="shared" si="49"/>
        <v>0</v>
      </c>
      <c r="M289" s="86">
        <f t="shared" si="49"/>
        <v>0</v>
      </c>
      <c r="N289" s="86">
        <f t="shared" si="49"/>
        <v>0</v>
      </c>
      <c r="O289" s="86">
        <f t="shared" si="49"/>
        <v>0</v>
      </c>
      <c r="P289" s="86">
        <f t="shared" si="49"/>
        <v>0</v>
      </c>
      <c r="Q289" s="86">
        <f t="shared" si="49"/>
        <v>0</v>
      </c>
      <c r="R289" s="86">
        <f t="shared" si="49"/>
        <v>0</v>
      </c>
      <c r="S289" s="86">
        <f t="shared" si="49"/>
        <v>0</v>
      </c>
      <c r="T289" s="86">
        <f t="shared" si="49"/>
        <v>0</v>
      </c>
      <c r="U289" s="86">
        <f t="shared" si="49"/>
        <v>0</v>
      </c>
      <c r="V289" s="86">
        <f t="shared" si="49"/>
        <v>0</v>
      </c>
      <c r="W289" s="86">
        <f t="shared" si="49"/>
        <v>0</v>
      </c>
      <c r="X289" s="86">
        <f t="shared" si="49"/>
        <v>0</v>
      </c>
      <c r="Y289" s="86">
        <f t="shared" si="49"/>
        <v>0</v>
      </c>
      <c r="Z289" s="86">
        <f t="shared" si="49"/>
        <v>0</v>
      </c>
      <c r="AA289" s="86">
        <f t="shared" si="49"/>
        <v>0</v>
      </c>
      <c r="AB289" s="86">
        <f t="shared" si="49"/>
        <v>0</v>
      </c>
      <c r="AC289" s="86">
        <f t="shared" si="49"/>
        <v>0</v>
      </c>
      <c r="AD289" s="87">
        <f t="shared" si="49"/>
        <v>0</v>
      </c>
      <c r="AE289" s="83">
        <f>SUM(AE288)</f>
        <v>0</v>
      </c>
    </row>
    <row r="290" spans="1:31" ht="65.25" thickBot="1">
      <c r="A290" s="150" t="s">
        <v>8</v>
      </c>
      <c r="B290" s="151"/>
      <c r="C290" s="151"/>
      <c r="D290" s="151"/>
      <c r="E290" s="151"/>
      <c r="F290" s="151"/>
      <c r="G290" s="151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  <c r="W290" s="151"/>
      <c r="X290" s="151"/>
      <c r="Y290" s="151"/>
      <c r="Z290" s="151"/>
      <c r="AA290" s="151"/>
      <c r="AB290" s="151"/>
      <c r="AC290" s="151"/>
      <c r="AD290" s="151"/>
      <c r="AE290" s="152"/>
    </row>
    <row r="291" spans="1:31" ht="65.25" thickBot="1">
      <c r="A291" s="84">
        <v>56</v>
      </c>
      <c r="B291" s="22" t="s">
        <v>228</v>
      </c>
      <c r="C291" s="84"/>
      <c r="D291" s="86"/>
      <c r="E291" s="86"/>
      <c r="F291" s="86"/>
      <c r="G291" s="86"/>
      <c r="H291" s="86"/>
      <c r="I291" s="86"/>
      <c r="J291" s="86">
        <v>56.5</v>
      </c>
      <c r="K291" s="86"/>
      <c r="L291" s="86"/>
      <c r="M291" s="86"/>
      <c r="N291" s="86"/>
      <c r="O291" s="87"/>
      <c r="P291" s="83"/>
      <c r="Q291" s="87"/>
      <c r="R291" s="83">
        <v>5</v>
      </c>
      <c r="S291" s="87"/>
      <c r="T291" s="83"/>
      <c r="U291" s="87"/>
      <c r="V291" s="84"/>
      <c r="W291" s="83"/>
      <c r="X291" s="87"/>
      <c r="Y291" s="84"/>
      <c r="Z291" s="83"/>
      <c r="AA291" s="87"/>
      <c r="AB291" s="83"/>
      <c r="AC291" s="84"/>
      <c r="AD291" s="87"/>
      <c r="AE291" s="80"/>
    </row>
    <row r="292" spans="1:31" ht="129.75" thickBot="1">
      <c r="A292" s="83">
        <v>53</v>
      </c>
      <c r="B292" s="22" t="s">
        <v>174</v>
      </c>
      <c r="C292" s="84"/>
      <c r="D292" s="86"/>
      <c r="E292" s="86"/>
      <c r="F292" s="86"/>
      <c r="G292" s="86"/>
      <c r="H292" s="86"/>
      <c r="I292" s="86">
        <v>35</v>
      </c>
      <c r="J292" s="86">
        <v>39</v>
      </c>
      <c r="K292" s="86"/>
      <c r="L292" s="86"/>
      <c r="M292" s="86"/>
      <c r="N292" s="83"/>
      <c r="O292" s="87"/>
      <c r="P292" s="83"/>
      <c r="Q292" s="87">
        <v>3</v>
      </c>
      <c r="R292" s="83"/>
      <c r="S292" s="87"/>
      <c r="T292" s="90"/>
      <c r="U292" s="83"/>
      <c r="V292" s="83"/>
      <c r="W292" s="87">
        <v>8</v>
      </c>
      <c r="X292" s="83">
        <v>25</v>
      </c>
      <c r="Y292" s="87"/>
      <c r="Z292" s="84">
        <v>8</v>
      </c>
      <c r="AA292" s="83"/>
      <c r="AB292" s="87"/>
      <c r="AC292" s="83"/>
      <c r="AD292" s="90"/>
      <c r="AE292" s="83"/>
    </row>
    <row r="293" spans="1:31" ht="65.25" thickBot="1">
      <c r="A293" s="84">
        <v>19</v>
      </c>
      <c r="B293" s="22" t="s">
        <v>242</v>
      </c>
      <c r="C293" s="83"/>
      <c r="D293" s="86"/>
      <c r="E293" s="86"/>
      <c r="F293" s="86"/>
      <c r="G293" s="86"/>
      <c r="H293" s="86"/>
      <c r="I293" s="86">
        <v>119</v>
      </c>
      <c r="J293" s="86">
        <v>32.9</v>
      </c>
      <c r="K293" s="86"/>
      <c r="L293" s="86"/>
      <c r="M293" s="86"/>
      <c r="N293" s="86"/>
      <c r="O293" s="86"/>
      <c r="P293" s="86"/>
      <c r="Q293" s="86"/>
      <c r="R293" s="86">
        <v>5</v>
      </c>
      <c r="S293" s="86"/>
      <c r="T293" s="86"/>
      <c r="U293" s="86"/>
      <c r="V293" s="86"/>
      <c r="W293" s="86">
        <v>63</v>
      </c>
      <c r="X293" s="86"/>
      <c r="Y293" s="86"/>
      <c r="Z293" s="86"/>
      <c r="AA293" s="86"/>
      <c r="AB293" s="86"/>
      <c r="AC293" s="86"/>
      <c r="AD293" s="87"/>
      <c r="AE293" s="83"/>
    </row>
    <row r="294" spans="1:31" ht="65.25" thickBot="1">
      <c r="A294" s="83">
        <v>9</v>
      </c>
      <c r="B294" s="22" t="s">
        <v>43</v>
      </c>
      <c r="C294" s="84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>
        <v>18</v>
      </c>
      <c r="O294" s="87"/>
      <c r="P294" s="83">
        <v>13</v>
      </c>
      <c r="Q294" s="87"/>
      <c r="R294" s="83"/>
      <c r="S294" s="87"/>
      <c r="T294" s="83"/>
      <c r="U294" s="83"/>
      <c r="V294" s="87"/>
      <c r="W294" s="83"/>
      <c r="X294" s="87"/>
      <c r="Y294" s="83"/>
      <c r="Z294" s="83"/>
      <c r="AA294" s="87"/>
      <c r="AB294" s="83"/>
      <c r="AC294" s="87"/>
      <c r="AD294" s="90"/>
      <c r="AE294" s="83"/>
    </row>
    <row r="295" spans="1:31" ht="129.75" thickBot="1">
      <c r="A295" s="83" t="s">
        <v>32</v>
      </c>
      <c r="B295" s="22" t="s">
        <v>56</v>
      </c>
      <c r="C295" s="84">
        <v>25</v>
      </c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7"/>
      <c r="V295" s="83"/>
      <c r="W295" s="86"/>
      <c r="X295" s="87"/>
      <c r="Y295" s="83"/>
      <c r="Z295" s="86"/>
      <c r="AA295" s="86"/>
      <c r="AB295" s="86"/>
      <c r="AC295" s="86"/>
      <c r="AD295" s="87"/>
      <c r="AE295" s="83"/>
    </row>
    <row r="296" spans="1:31" ht="129.75" thickBot="1">
      <c r="A296" s="83" t="s">
        <v>32</v>
      </c>
      <c r="B296" s="22" t="s">
        <v>58</v>
      </c>
      <c r="C296" s="84"/>
      <c r="D296" s="86">
        <v>50</v>
      </c>
      <c r="E296" s="86"/>
      <c r="F296" s="86"/>
      <c r="G296" s="86"/>
      <c r="H296" s="86"/>
      <c r="I296" s="85"/>
      <c r="J296" s="85"/>
      <c r="K296" s="85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85"/>
      <c r="AC296" s="85"/>
      <c r="AD296" s="91"/>
      <c r="AE296" s="83"/>
    </row>
    <row r="297" spans="1:31" ht="65.25" thickBot="1">
      <c r="A297" s="84"/>
      <c r="B297" s="25" t="s">
        <v>29</v>
      </c>
      <c r="C297" s="84">
        <f aca="true" t="shared" si="50" ref="C297:AE297">SUM(C291:C296)</f>
        <v>25</v>
      </c>
      <c r="D297" s="84">
        <f t="shared" si="50"/>
        <v>50</v>
      </c>
      <c r="E297" s="84">
        <f t="shared" si="50"/>
        <v>0</v>
      </c>
      <c r="F297" s="84">
        <f t="shared" si="50"/>
        <v>0</v>
      </c>
      <c r="G297" s="84">
        <f t="shared" si="50"/>
        <v>0</v>
      </c>
      <c r="H297" s="84">
        <f t="shared" si="50"/>
        <v>0</v>
      </c>
      <c r="I297" s="84">
        <f t="shared" si="50"/>
        <v>154</v>
      </c>
      <c r="J297" s="84">
        <f t="shared" si="50"/>
        <v>128.4</v>
      </c>
      <c r="K297" s="84">
        <f t="shared" si="50"/>
        <v>0</v>
      </c>
      <c r="L297" s="84">
        <f t="shared" si="50"/>
        <v>0</v>
      </c>
      <c r="M297" s="84">
        <f t="shared" si="50"/>
        <v>0</v>
      </c>
      <c r="N297" s="84">
        <f t="shared" si="50"/>
        <v>18</v>
      </c>
      <c r="O297" s="84">
        <f t="shared" si="50"/>
        <v>0</v>
      </c>
      <c r="P297" s="84">
        <f t="shared" si="50"/>
        <v>13</v>
      </c>
      <c r="Q297" s="84">
        <f t="shared" si="50"/>
        <v>3</v>
      </c>
      <c r="R297" s="84">
        <f t="shared" si="50"/>
        <v>10</v>
      </c>
      <c r="S297" s="84">
        <f t="shared" si="50"/>
        <v>0</v>
      </c>
      <c r="T297" s="84">
        <f t="shared" si="50"/>
        <v>0</v>
      </c>
      <c r="U297" s="84">
        <f t="shared" si="50"/>
        <v>0</v>
      </c>
      <c r="V297" s="84">
        <f t="shared" si="50"/>
        <v>0</v>
      </c>
      <c r="W297" s="84">
        <f t="shared" si="50"/>
        <v>71</v>
      </c>
      <c r="X297" s="84">
        <f t="shared" si="50"/>
        <v>25</v>
      </c>
      <c r="Y297" s="84">
        <f t="shared" si="50"/>
        <v>0</v>
      </c>
      <c r="Z297" s="84">
        <f t="shared" si="50"/>
        <v>8</v>
      </c>
      <c r="AA297" s="84">
        <f t="shared" si="50"/>
        <v>0</v>
      </c>
      <c r="AB297" s="84">
        <f t="shared" si="50"/>
        <v>0</v>
      </c>
      <c r="AC297" s="84">
        <f t="shared" si="50"/>
        <v>0</v>
      </c>
      <c r="AD297" s="88">
        <f t="shared" si="50"/>
        <v>0</v>
      </c>
      <c r="AE297" s="84">
        <f t="shared" si="50"/>
        <v>0</v>
      </c>
    </row>
    <row r="298" spans="1:31" ht="65.25" thickBot="1">
      <c r="A298" s="150" t="s">
        <v>145</v>
      </c>
      <c r="B298" s="151"/>
      <c r="C298" s="151"/>
      <c r="D298" s="151"/>
      <c r="E298" s="151"/>
      <c r="F298" s="151"/>
      <c r="G298" s="151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  <c r="W298" s="151"/>
      <c r="X298" s="151"/>
      <c r="Y298" s="151"/>
      <c r="Z298" s="151"/>
      <c r="AA298" s="151"/>
      <c r="AB298" s="151"/>
      <c r="AC298" s="151"/>
      <c r="AD298" s="151"/>
      <c r="AE298" s="152"/>
    </row>
    <row r="299" spans="1:31" ht="129.75" thickBot="1">
      <c r="A299" s="92">
        <v>21.1</v>
      </c>
      <c r="B299" s="27" t="s">
        <v>172</v>
      </c>
      <c r="C299" s="83"/>
      <c r="D299" s="86"/>
      <c r="E299" s="83"/>
      <c r="F299" s="83"/>
      <c r="G299" s="83"/>
      <c r="H299" s="86"/>
      <c r="I299" s="86"/>
      <c r="J299" s="86"/>
      <c r="K299" s="86"/>
      <c r="L299" s="86"/>
      <c r="M299" s="86"/>
      <c r="N299" s="86"/>
      <c r="O299" s="87"/>
      <c r="P299" s="84"/>
      <c r="Q299" s="87"/>
      <c r="R299" s="84"/>
      <c r="S299" s="87"/>
      <c r="T299" s="84">
        <v>185</v>
      </c>
      <c r="U299" s="87"/>
      <c r="V299" s="84"/>
      <c r="W299" s="84"/>
      <c r="X299" s="87"/>
      <c r="Y299" s="84"/>
      <c r="Z299" s="84"/>
      <c r="AA299" s="87"/>
      <c r="AB299" s="84"/>
      <c r="AC299" s="87"/>
      <c r="AD299" s="88"/>
      <c r="AE299" s="83"/>
    </row>
    <row r="300" spans="1:31" ht="129.75" thickBot="1">
      <c r="A300" s="83">
        <v>28</v>
      </c>
      <c r="B300" s="22" t="s">
        <v>164</v>
      </c>
      <c r="C300" s="84"/>
      <c r="D300" s="86"/>
      <c r="E300" s="86">
        <v>38</v>
      </c>
      <c r="F300" s="86"/>
      <c r="G300" s="86"/>
      <c r="H300" s="86"/>
      <c r="I300" s="86"/>
      <c r="J300" s="86"/>
      <c r="K300" s="86"/>
      <c r="L300" s="86"/>
      <c r="M300" s="86"/>
      <c r="N300" s="86"/>
      <c r="O300" s="86"/>
      <c r="P300" s="86">
        <v>9</v>
      </c>
      <c r="Q300" s="86">
        <v>4</v>
      </c>
      <c r="R300" s="86">
        <v>1</v>
      </c>
      <c r="S300" s="86">
        <v>6</v>
      </c>
      <c r="T300" s="86">
        <v>14</v>
      </c>
      <c r="U300" s="86">
        <v>26</v>
      </c>
      <c r="V300" s="86"/>
      <c r="W300" s="86"/>
      <c r="X300" s="86"/>
      <c r="Y300" s="86"/>
      <c r="Z300" s="86"/>
      <c r="AA300" s="86"/>
      <c r="AB300" s="87"/>
      <c r="AC300" s="83"/>
      <c r="AD300" s="87"/>
      <c r="AE300" s="84">
        <v>1.5</v>
      </c>
    </row>
    <row r="301" spans="1:31" ht="65.25" thickBot="1">
      <c r="A301" s="84"/>
      <c r="B301" s="22" t="s">
        <v>29</v>
      </c>
      <c r="C301" s="84">
        <f aca="true" t="shared" si="51" ref="C301:AE301">C299+C300</f>
        <v>0</v>
      </c>
      <c r="D301" s="84">
        <f t="shared" si="51"/>
        <v>0</v>
      </c>
      <c r="E301" s="84">
        <f t="shared" si="51"/>
        <v>38</v>
      </c>
      <c r="F301" s="84">
        <f t="shared" si="51"/>
        <v>0</v>
      </c>
      <c r="G301" s="84">
        <f t="shared" si="51"/>
        <v>0</v>
      </c>
      <c r="H301" s="84">
        <f t="shared" si="51"/>
        <v>0</v>
      </c>
      <c r="I301" s="84">
        <f t="shared" si="51"/>
        <v>0</v>
      </c>
      <c r="J301" s="84">
        <f t="shared" si="51"/>
        <v>0</v>
      </c>
      <c r="K301" s="84">
        <f t="shared" si="51"/>
        <v>0</v>
      </c>
      <c r="L301" s="84">
        <f t="shared" si="51"/>
        <v>0</v>
      </c>
      <c r="M301" s="84">
        <f t="shared" si="51"/>
        <v>0</v>
      </c>
      <c r="N301" s="84">
        <f t="shared" si="51"/>
        <v>0</v>
      </c>
      <c r="O301" s="84">
        <f t="shared" si="51"/>
        <v>0</v>
      </c>
      <c r="P301" s="84">
        <f t="shared" si="51"/>
        <v>9</v>
      </c>
      <c r="Q301" s="84">
        <f t="shared" si="51"/>
        <v>4</v>
      </c>
      <c r="R301" s="84">
        <f t="shared" si="51"/>
        <v>1</v>
      </c>
      <c r="S301" s="84">
        <f t="shared" si="51"/>
        <v>6</v>
      </c>
      <c r="T301" s="84">
        <f t="shared" si="51"/>
        <v>199</v>
      </c>
      <c r="U301" s="84">
        <f t="shared" si="51"/>
        <v>26</v>
      </c>
      <c r="V301" s="84">
        <f t="shared" si="51"/>
        <v>0</v>
      </c>
      <c r="W301" s="84">
        <f t="shared" si="51"/>
        <v>0</v>
      </c>
      <c r="X301" s="84">
        <f t="shared" si="51"/>
        <v>0</v>
      </c>
      <c r="Y301" s="84">
        <f t="shared" si="51"/>
        <v>0</v>
      </c>
      <c r="Z301" s="84">
        <f t="shared" si="51"/>
        <v>0</v>
      </c>
      <c r="AA301" s="84">
        <f t="shared" si="51"/>
        <v>0</v>
      </c>
      <c r="AB301" s="84">
        <f t="shared" si="51"/>
        <v>0</v>
      </c>
      <c r="AC301" s="84">
        <f t="shared" si="51"/>
        <v>0</v>
      </c>
      <c r="AD301" s="84">
        <f t="shared" si="51"/>
        <v>0</v>
      </c>
      <c r="AE301" s="84">
        <f t="shared" si="51"/>
        <v>1.5</v>
      </c>
    </row>
    <row r="302" spans="1:31" ht="65.25" thickBot="1">
      <c r="A302" s="150" t="s">
        <v>144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  <c r="W302" s="151"/>
      <c r="X302" s="151"/>
      <c r="Y302" s="151"/>
      <c r="Z302" s="151"/>
      <c r="AA302" s="151"/>
      <c r="AB302" s="151"/>
      <c r="AC302" s="151"/>
      <c r="AD302" s="151"/>
      <c r="AE302" s="152"/>
    </row>
    <row r="303" spans="1:31" ht="65.25" thickBot="1">
      <c r="A303" s="83">
        <v>73</v>
      </c>
      <c r="B303" s="22" t="s">
        <v>212</v>
      </c>
      <c r="C303" s="83">
        <v>13</v>
      </c>
      <c r="D303" s="86"/>
      <c r="E303" s="86"/>
      <c r="F303" s="86"/>
      <c r="G303" s="86">
        <v>13</v>
      </c>
      <c r="H303" s="86"/>
      <c r="I303" s="86">
        <v>66</v>
      </c>
      <c r="J303" s="86">
        <v>230</v>
      </c>
      <c r="K303" s="86"/>
      <c r="L303" s="86"/>
      <c r="M303" s="86"/>
      <c r="N303" s="86"/>
      <c r="O303" s="86"/>
      <c r="P303" s="86"/>
      <c r="Q303" s="86">
        <v>3</v>
      </c>
      <c r="R303" s="86">
        <v>5</v>
      </c>
      <c r="S303" s="86">
        <v>10</v>
      </c>
      <c r="T303" s="86"/>
      <c r="U303" s="86"/>
      <c r="V303" s="86"/>
      <c r="W303" s="86"/>
      <c r="X303" s="86"/>
      <c r="Y303" s="86"/>
      <c r="Z303" s="86">
        <v>6</v>
      </c>
      <c r="AA303" s="86"/>
      <c r="AB303" s="86"/>
      <c r="AC303" s="86"/>
      <c r="AD303" s="87"/>
      <c r="AE303" s="83"/>
    </row>
    <row r="304" spans="1:31" ht="65.25" thickBot="1">
      <c r="A304" s="84">
        <v>13</v>
      </c>
      <c r="B304" s="23" t="s">
        <v>7</v>
      </c>
      <c r="C304" s="84"/>
      <c r="D304" s="85"/>
      <c r="E304" s="85"/>
      <c r="F304" s="85"/>
      <c r="G304" s="85"/>
      <c r="H304" s="86"/>
      <c r="I304" s="86"/>
      <c r="J304" s="86"/>
      <c r="K304" s="86"/>
      <c r="L304" s="86"/>
      <c r="M304" s="86"/>
      <c r="N304" s="86"/>
      <c r="O304" s="87"/>
      <c r="P304" s="84">
        <v>12</v>
      </c>
      <c r="Q304" s="87"/>
      <c r="R304" s="84"/>
      <c r="S304" s="87"/>
      <c r="T304" s="84"/>
      <c r="U304" s="84"/>
      <c r="V304" s="87"/>
      <c r="W304" s="84"/>
      <c r="X304" s="87"/>
      <c r="Y304" s="84"/>
      <c r="Z304" s="84"/>
      <c r="AA304" s="87"/>
      <c r="AB304" s="84">
        <v>0.58</v>
      </c>
      <c r="AC304" s="84"/>
      <c r="AD304" s="87"/>
      <c r="AE304" s="83"/>
    </row>
    <row r="305" spans="1:31" ht="129.75" thickBot="1">
      <c r="A305" s="83" t="s">
        <v>32</v>
      </c>
      <c r="B305" s="22" t="s">
        <v>56</v>
      </c>
      <c r="C305" s="84">
        <v>25</v>
      </c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7"/>
      <c r="AD305" s="90"/>
      <c r="AE305" s="83"/>
    </row>
    <row r="306" spans="1:31" ht="129.75" thickBot="1">
      <c r="A306" s="83">
        <v>69</v>
      </c>
      <c r="B306" s="22" t="s">
        <v>106</v>
      </c>
      <c r="C306" s="84"/>
      <c r="D306" s="85"/>
      <c r="E306" s="85"/>
      <c r="F306" s="85"/>
      <c r="G306" s="85"/>
      <c r="H306" s="86"/>
      <c r="I306" s="86"/>
      <c r="J306" s="86"/>
      <c r="K306" s="86"/>
      <c r="L306" s="86"/>
      <c r="M306" s="86">
        <v>85</v>
      </c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4"/>
      <c r="AC306" s="86"/>
      <c r="AD306" s="87"/>
      <c r="AE306" s="83"/>
    </row>
    <row r="307" spans="1:31" ht="65.25" thickBot="1">
      <c r="A307" s="80"/>
      <c r="B307" s="22" t="s">
        <v>6</v>
      </c>
      <c r="C307" s="84">
        <f aca="true" t="shared" si="52" ref="C307:AE307">SUM(C303:C306)</f>
        <v>38</v>
      </c>
      <c r="D307" s="84">
        <f t="shared" si="52"/>
        <v>0</v>
      </c>
      <c r="E307" s="84">
        <f t="shared" si="52"/>
        <v>0</v>
      </c>
      <c r="F307" s="84">
        <f t="shared" si="52"/>
        <v>0</v>
      </c>
      <c r="G307" s="84">
        <f t="shared" si="52"/>
        <v>13</v>
      </c>
      <c r="H307" s="84">
        <f t="shared" si="52"/>
        <v>0</v>
      </c>
      <c r="I307" s="84">
        <f t="shared" si="52"/>
        <v>66</v>
      </c>
      <c r="J307" s="84">
        <f t="shared" si="52"/>
        <v>230</v>
      </c>
      <c r="K307" s="84">
        <f t="shared" si="52"/>
        <v>0</v>
      </c>
      <c r="L307" s="84">
        <f t="shared" si="52"/>
        <v>0</v>
      </c>
      <c r="M307" s="84">
        <f t="shared" si="52"/>
        <v>85</v>
      </c>
      <c r="N307" s="84">
        <f t="shared" si="52"/>
        <v>0</v>
      </c>
      <c r="O307" s="84">
        <f t="shared" si="52"/>
        <v>0</v>
      </c>
      <c r="P307" s="84">
        <f t="shared" si="52"/>
        <v>12</v>
      </c>
      <c r="Q307" s="84">
        <f t="shared" si="52"/>
        <v>3</v>
      </c>
      <c r="R307" s="84">
        <f t="shared" si="52"/>
        <v>5</v>
      </c>
      <c r="S307" s="84">
        <f t="shared" si="52"/>
        <v>10</v>
      </c>
      <c r="T307" s="84">
        <f t="shared" si="52"/>
        <v>0</v>
      </c>
      <c r="U307" s="84">
        <f t="shared" si="52"/>
        <v>0</v>
      </c>
      <c r="V307" s="84">
        <f t="shared" si="52"/>
        <v>0</v>
      </c>
      <c r="W307" s="84">
        <f t="shared" si="52"/>
        <v>0</v>
      </c>
      <c r="X307" s="84">
        <f t="shared" si="52"/>
        <v>0</v>
      </c>
      <c r="Y307" s="84">
        <f t="shared" si="52"/>
        <v>0</v>
      </c>
      <c r="Z307" s="84">
        <f t="shared" si="52"/>
        <v>6</v>
      </c>
      <c r="AA307" s="84">
        <f t="shared" si="52"/>
        <v>0</v>
      </c>
      <c r="AB307" s="84">
        <f t="shared" si="52"/>
        <v>0.58</v>
      </c>
      <c r="AC307" s="84">
        <f t="shared" si="52"/>
        <v>0</v>
      </c>
      <c r="AD307" s="84">
        <f t="shared" si="52"/>
        <v>0</v>
      </c>
      <c r="AE307" s="84">
        <f t="shared" si="52"/>
        <v>0</v>
      </c>
    </row>
    <row r="308" spans="1:31" ht="213.75" customHeight="1" thickBot="1">
      <c r="A308" s="145"/>
      <c r="B308" s="22" t="s">
        <v>150</v>
      </c>
      <c r="C308" s="84"/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8"/>
      <c r="AE308" s="84"/>
    </row>
    <row r="309" spans="1:31" ht="65.25" thickBot="1">
      <c r="A309" s="83"/>
      <c r="B309" s="93" t="s">
        <v>10</v>
      </c>
      <c r="C309" s="84">
        <f aca="true" t="shared" si="53" ref="C309:AE309">C286+C289+C297+C301+C307</f>
        <v>88</v>
      </c>
      <c r="D309" s="84">
        <f t="shared" si="53"/>
        <v>50</v>
      </c>
      <c r="E309" s="84">
        <f t="shared" si="53"/>
        <v>38</v>
      </c>
      <c r="F309" s="84">
        <f t="shared" si="53"/>
        <v>0</v>
      </c>
      <c r="G309" s="84">
        <f t="shared" si="53"/>
        <v>36</v>
      </c>
      <c r="H309" s="84">
        <f t="shared" si="53"/>
        <v>0</v>
      </c>
      <c r="I309" s="84">
        <f t="shared" si="53"/>
        <v>220</v>
      </c>
      <c r="J309" s="84">
        <f t="shared" si="53"/>
        <v>358.4</v>
      </c>
      <c r="K309" s="84">
        <f t="shared" si="53"/>
        <v>150</v>
      </c>
      <c r="L309" s="84">
        <f t="shared" si="53"/>
        <v>0</v>
      </c>
      <c r="M309" s="84">
        <f t="shared" si="53"/>
        <v>85</v>
      </c>
      <c r="N309" s="84">
        <f t="shared" si="53"/>
        <v>18</v>
      </c>
      <c r="O309" s="84">
        <f t="shared" si="53"/>
        <v>0</v>
      </c>
      <c r="P309" s="84">
        <f t="shared" si="53"/>
        <v>50</v>
      </c>
      <c r="Q309" s="84">
        <f t="shared" si="53"/>
        <v>17</v>
      </c>
      <c r="R309" s="84">
        <f t="shared" si="53"/>
        <v>16</v>
      </c>
      <c r="S309" s="84">
        <f t="shared" si="53"/>
        <v>16</v>
      </c>
      <c r="T309" s="84">
        <f t="shared" si="53"/>
        <v>435</v>
      </c>
      <c r="U309" s="84">
        <f t="shared" si="53"/>
        <v>26</v>
      </c>
      <c r="V309" s="84">
        <f t="shared" si="53"/>
        <v>0</v>
      </c>
      <c r="W309" s="84">
        <f t="shared" si="53"/>
        <v>71</v>
      </c>
      <c r="X309" s="84">
        <f t="shared" si="53"/>
        <v>25</v>
      </c>
      <c r="Y309" s="84">
        <f t="shared" si="53"/>
        <v>0</v>
      </c>
      <c r="Z309" s="84">
        <f t="shared" si="53"/>
        <v>14</v>
      </c>
      <c r="AA309" s="84">
        <f t="shared" si="53"/>
        <v>0</v>
      </c>
      <c r="AB309" s="84">
        <f t="shared" si="53"/>
        <v>0.58</v>
      </c>
      <c r="AC309" s="84">
        <f t="shared" si="53"/>
        <v>0</v>
      </c>
      <c r="AD309" s="84">
        <f t="shared" si="53"/>
        <v>1.3</v>
      </c>
      <c r="AE309" s="84">
        <f t="shared" si="53"/>
        <v>1.5</v>
      </c>
    </row>
    <row r="310" spans="1:31" ht="65.25" thickBot="1">
      <c r="A310" s="150" t="s">
        <v>40</v>
      </c>
      <c r="B310" s="151"/>
      <c r="C310" s="151"/>
      <c r="D310" s="151"/>
      <c r="E310" s="151"/>
      <c r="F310" s="151"/>
      <c r="G310" s="151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  <c r="W310" s="151"/>
      <c r="X310" s="151"/>
      <c r="Y310" s="151"/>
      <c r="Z310" s="151"/>
      <c r="AA310" s="151"/>
      <c r="AB310" s="151"/>
      <c r="AC310" s="151"/>
      <c r="AD310" s="151"/>
      <c r="AE310" s="152"/>
    </row>
    <row r="311" spans="1:31" ht="65.25" thickBot="1">
      <c r="A311" s="150" t="s">
        <v>22</v>
      </c>
      <c r="B311" s="151"/>
      <c r="C311" s="151"/>
      <c r="D311" s="151"/>
      <c r="E311" s="151"/>
      <c r="F311" s="151"/>
      <c r="G311" s="151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  <c r="W311" s="151"/>
      <c r="X311" s="151"/>
      <c r="Y311" s="151"/>
      <c r="Z311" s="151"/>
      <c r="AA311" s="151"/>
      <c r="AB311" s="151"/>
      <c r="AC311" s="151"/>
      <c r="AD311" s="151"/>
      <c r="AE311" s="152"/>
    </row>
    <row r="312" spans="1:31" ht="45.75" customHeight="1">
      <c r="A312" s="166" t="s">
        <v>30</v>
      </c>
      <c r="B312" s="168" t="s">
        <v>23</v>
      </c>
      <c r="C312" s="153" t="s">
        <v>116</v>
      </c>
      <c r="D312" s="153" t="s">
        <v>117</v>
      </c>
      <c r="E312" s="153" t="s">
        <v>130</v>
      </c>
      <c r="F312" s="153" t="s">
        <v>119</v>
      </c>
      <c r="G312" s="153" t="s">
        <v>131</v>
      </c>
      <c r="H312" s="153" t="s">
        <v>132</v>
      </c>
      <c r="I312" s="153" t="s">
        <v>110</v>
      </c>
      <c r="J312" s="153" t="s">
        <v>257</v>
      </c>
      <c r="K312" s="140"/>
      <c r="L312" s="140"/>
      <c r="M312" s="153" t="s">
        <v>142</v>
      </c>
      <c r="N312" s="153" t="s">
        <v>79</v>
      </c>
      <c r="O312" s="153" t="s">
        <v>139</v>
      </c>
      <c r="P312" s="153" t="s">
        <v>80</v>
      </c>
      <c r="Q312" s="153" t="s">
        <v>124</v>
      </c>
      <c r="R312" s="153" t="s">
        <v>81</v>
      </c>
      <c r="S312" s="153" t="s">
        <v>134</v>
      </c>
      <c r="T312" s="153" t="s">
        <v>135</v>
      </c>
      <c r="U312" s="153" t="s">
        <v>136</v>
      </c>
      <c r="V312" s="140"/>
      <c r="W312" s="153" t="s">
        <v>113</v>
      </c>
      <c r="X312" s="153" t="s">
        <v>129</v>
      </c>
      <c r="Y312" s="153" t="s">
        <v>84</v>
      </c>
      <c r="Z312" s="153" t="s">
        <v>82</v>
      </c>
      <c r="AA312" s="153" t="s">
        <v>83</v>
      </c>
      <c r="AB312" s="153" t="s">
        <v>85</v>
      </c>
      <c r="AC312" s="140"/>
      <c r="AD312" s="158" t="s">
        <v>78</v>
      </c>
      <c r="AE312" s="153" t="s">
        <v>137</v>
      </c>
    </row>
    <row r="313" spans="1:31" ht="409.5" customHeight="1" thickBot="1">
      <c r="A313" s="167"/>
      <c r="B313" s="169"/>
      <c r="C313" s="154"/>
      <c r="D313" s="154"/>
      <c r="E313" s="154"/>
      <c r="F313" s="154"/>
      <c r="G313" s="154"/>
      <c r="H313" s="154"/>
      <c r="I313" s="154"/>
      <c r="J313" s="154"/>
      <c r="K313" s="141" t="s">
        <v>133</v>
      </c>
      <c r="L313" s="141" t="s">
        <v>143</v>
      </c>
      <c r="M313" s="154"/>
      <c r="N313" s="154"/>
      <c r="O313" s="154"/>
      <c r="P313" s="154"/>
      <c r="Q313" s="154"/>
      <c r="R313" s="154"/>
      <c r="S313" s="154"/>
      <c r="T313" s="154"/>
      <c r="U313" s="154"/>
      <c r="V313" s="141" t="s">
        <v>140</v>
      </c>
      <c r="W313" s="154"/>
      <c r="X313" s="154"/>
      <c r="Y313" s="154"/>
      <c r="Z313" s="154"/>
      <c r="AA313" s="154"/>
      <c r="AB313" s="154"/>
      <c r="AC313" s="141" t="s">
        <v>77</v>
      </c>
      <c r="AD313" s="159"/>
      <c r="AE313" s="154"/>
    </row>
    <row r="314" spans="1:31" ht="65.25" thickBot="1">
      <c r="A314" s="145">
        <v>1</v>
      </c>
      <c r="B314" s="79">
        <v>2</v>
      </c>
      <c r="C314" s="80" t="s">
        <v>54</v>
      </c>
      <c r="D314" s="81">
        <v>4</v>
      </c>
      <c r="E314" s="80">
        <v>5</v>
      </c>
      <c r="F314" s="80">
        <v>6</v>
      </c>
      <c r="G314" s="80">
        <v>7</v>
      </c>
      <c r="H314" s="80">
        <v>8</v>
      </c>
      <c r="I314" s="80" t="s">
        <v>55</v>
      </c>
      <c r="J314" s="81">
        <v>10</v>
      </c>
      <c r="K314" s="80">
        <v>11</v>
      </c>
      <c r="L314" s="108">
        <v>12</v>
      </c>
      <c r="M314" s="80">
        <v>13</v>
      </c>
      <c r="N314" s="80">
        <v>14</v>
      </c>
      <c r="O314" s="80">
        <v>15</v>
      </c>
      <c r="P314" s="80">
        <v>16</v>
      </c>
      <c r="Q314" s="143">
        <v>17</v>
      </c>
      <c r="R314" s="80">
        <v>18</v>
      </c>
      <c r="S314" s="143">
        <v>19</v>
      </c>
      <c r="T314" s="80">
        <v>20</v>
      </c>
      <c r="U314" s="143">
        <v>21</v>
      </c>
      <c r="V314" s="143">
        <v>22</v>
      </c>
      <c r="W314" s="80">
        <v>23</v>
      </c>
      <c r="X314" s="80">
        <v>24</v>
      </c>
      <c r="Y314" s="143">
        <v>25</v>
      </c>
      <c r="Z314" s="80">
        <v>26</v>
      </c>
      <c r="AA314" s="80">
        <v>27</v>
      </c>
      <c r="AB314" s="80">
        <v>28</v>
      </c>
      <c r="AC314" s="143">
        <v>29</v>
      </c>
      <c r="AD314" s="142">
        <v>30</v>
      </c>
      <c r="AE314" s="80">
        <v>32</v>
      </c>
    </row>
    <row r="315" spans="1:31" ht="65.25" thickBot="1">
      <c r="A315" s="150" t="s">
        <v>5</v>
      </c>
      <c r="B315" s="151"/>
      <c r="C315" s="151"/>
      <c r="D315" s="151"/>
      <c r="E315" s="151"/>
      <c r="F315" s="151"/>
      <c r="G315" s="151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  <c r="W315" s="151"/>
      <c r="X315" s="151"/>
      <c r="Y315" s="151"/>
      <c r="Z315" s="151"/>
      <c r="AA315" s="151"/>
      <c r="AB315" s="151"/>
      <c r="AC315" s="151"/>
      <c r="AD315" s="151"/>
      <c r="AE315" s="152"/>
    </row>
    <row r="316" spans="1:31" ht="129.75" thickBot="1">
      <c r="A316" s="94">
        <v>39</v>
      </c>
      <c r="B316" s="75" t="s">
        <v>20</v>
      </c>
      <c r="C316" s="95"/>
      <c r="D316" s="96"/>
      <c r="E316" s="96"/>
      <c r="F316" s="96"/>
      <c r="G316" s="96"/>
      <c r="H316" s="96">
        <v>15</v>
      </c>
      <c r="I316" s="96"/>
      <c r="J316" s="96"/>
      <c r="K316" s="96"/>
      <c r="L316" s="96"/>
      <c r="M316" s="96"/>
      <c r="N316" s="96"/>
      <c r="O316" s="94"/>
      <c r="P316" s="97">
        <v>5</v>
      </c>
      <c r="Q316" s="94">
        <v>0.9</v>
      </c>
      <c r="R316" s="97"/>
      <c r="S316" s="94"/>
      <c r="T316" s="97">
        <v>139</v>
      </c>
      <c r="U316" s="94"/>
      <c r="V316" s="97"/>
      <c r="W316" s="95"/>
      <c r="X316" s="97"/>
      <c r="Y316" s="94"/>
      <c r="Z316" s="97"/>
      <c r="AA316" s="94"/>
      <c r="AB316" s="97"/>
      <c r="AC316" s="95"/>
      <c r="AD316" s="98"/>
      <c r="AE316" s="94"/>
    </row>
    <row r="317" spans="1:31" ht="129.75" thickBot="1">
      <c r="A317" s="83">
        <v>2</v>
      </c>
      <c r="B317" s="22" t="s">
        <v>69</v>
      </c>
      <c r="C317" s="84"/>
      <c r="D317" s="86"/>
      <c r="E317" s="86"/>
      <c r="F317" s="86"/>
      <c r="G317" s="86"/>
      <c r="H317" s="86"/>
      <c r="I317" s="86"/>
      <c r="J317" s="86"/>
      <c r="K317" s="86"/>
      <c r="L317" s="86"/>
      <c r="M317" s="86"/>
      <c r="N317" s="86"/>
      <c r="O317" s="83"/>
      <c r="P317" s="84">
        <v>11</v>
      </c>
      <c r="Q317" s="83"/>
      <c r="R317" s="87"/>
      <c r="S317" s="83"/>
      <c r="T317" s="84">
        <v>100</v>
      </c>
      <c r="U317" s="83"/>
      <c r="V317" s="87"/>
      <c r="W317" s="83"/>
      <c r="X317" s="87"/>
      <c r="Y317" s="83"/>
      <c r="Z317" s="87"/>
      <c r="AA317" s="83"/>
      <c r="AB317" s="87"/>
      <c r="AC317" s="83">
        <v>2.4</v>
      </c>
      <c r="AD317" s="90"/>
      <c r="AE317" s="84"/>
    </row>
    <row r="318" spans="1:31" ht="65.25" thickBot="1">
      <c r="A318" s="83">
        <v>86</v>
      </c>
      <c r="B318" s="22" t="s">
        <v>206</v>
      </c>
      <c r="C318" s="86">
        <v>25</v>
      </c>
      <c r="D318" s="86"/>
      <c r="E318" s="86"/>
      <c r="F318" s="86"/>
      <c r="G318" s="86"/>
      <c r="H318" s="86"/>
      <c r="I318" s="86"/>
      <c r="J318" s="86"/>
      <c r="K318" s="86"/>
      <c r="L318" s="86"/>
      <c r="M318" s="86">
        <v>10</v>
      </c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7"/>
      <c r="AE318" s="83"/>
    </row>
    <row r="319" spans="1:31" ht="65.25" thickBot="1">
      <c r="A319" s="83"/>
      <c r="B319" s="22" t="s">
        <v>6</v>
      </c>
      <c r="C319" s="84">
        <f>SUM(C316+C317+C318)</f>
        <v>25</v>
      </c>
      <c r="D319" s="84">
        <f aca="true" t="shared" si="54" ref="D319:AE319">SUM(D316+D317+D318)</f>
        <v>0</v>
      </c>
      <c r="E319" s="84">
        <f t="shared" si="54"/>
        <v>0</v>
      </c>
      <c r="F319" s="84">
        <f t="shared" si="54"/>
        <v>0</v>
      </c>
      <c r="G319" s="84">
        <f t="shared" si="54"/>
        <v>0</v>
      </c>
      <c r="H319" s="84">
        <f t="shared" si="54"/>
        <v>15</v>
      </c>
      <c r="I319" s="84">
        <f t="shared" si="54"/>
        <v>0</v>
      </c>
      <c r="J319" s="84">
        <f t="shared" si="54"/>
        <v>0</v>
      </c>
      <c r="K319" s="84">
        <f t="shared" si="54"/>
        <v>0</v>
      </c>
      <c r="L319" s="84">
        <f t="shared" si="54"/>
        <v>0</v>
      </c>
      <c r="M319" s="84">
        <f t="shared" si="54"/>
        <v>10</v>
      </c>
      <c r="N319" s="84">
        <f t="shared" si="54"/>
        <v>0</v>
      </c>
      <c r="O319" s="84">
        <f t="shared" si="54"/>
        <v>0</v>
      </c>
      <c r="P319" s="84">
        <f t="shared" si="54"/>
        <v>16</v>
      </c>
      <c r="Q319" s="84">
        <f t="shared" si="54"/>
        <v>0.9</v>
      </c>
      <c r="R319" s="84">
        <f t="shared" si="54"/>
        <v>0</v>
      </c>
      <c r="S319" s="84">
        <f t="shared" si="54"/>
        <v>0</v>
      </c>
      <c r="T319" s="84">
        <f t="shared" si="54"/>
        <v>239</v>
      </c>
      <c r="U319" s="84">
        <f t="shared" si="54"/>
        <v>0</v>
      </c>
      <c r="V319" s="84">
        <f t="shared" si="54"/>
        <v>0</v>
      </c>
      <c r="W319" s="84">
        <f t="shared" si="54"/>
        <v>0</v>
      </c>
      <c r="X319" s="84">
        <f t="shared" si="54"/>
        <v>0</v>
      </c>
      <c r="Y319" s="84">
        <f t="shared" si="54"/>
        <v>0</v>
      </c>
      <c r="Z319" s="84">
        <f t="shared" si="54"/>
        <v>0</v>
      </c>
      <c r="AA319" s="84">
        <f t="shared" si="54"/>
        <v>0</v>
      </c>
      <c r="AB319" s="84">
        <f t="shared" si="54"/>
        <v>0</v>
      </c>
      <c r="AC319" s="84">
        <f t="shared" si="54"/>
        <v>2.4</v>
      </c>
      <c r="AD319" s="88">
        <f t="shared" si="54"/>
        <v>0</v>
      </c>
      <c r="AE319" s="84">
        <f t="shared" si="54"/>
        <v>0</v>
      </c>
    </row>
    <row r="320" spans="1:31" ht="65.25" thickBot="1">
      <c r="A320" s="155" t="s">
        <v>53</v>
      </c>
      <c r="B320" s="156"/>
      <c r="C320" s="156"/>
      <c r="D320" s="156"/>
      <c r="E320" s="156"/>
      <c r="F320" s="156"/>
      <c r="G320" s="156"/>
      <c r="H320" s="156"/>
      <c r="I320" s="156"/>
      <c r="J320" s="156"/>
      <c r="K320" s="156"/>
      <c r="L320" s="156"/>
      <c r="M320" s="156"/>
      <c r="N320" s="156"/>
      <c r="O320" s="156"/>
      <c r="P320" s="156"/>
      <c r="Q320" s="156"/>
      <c r="R320" s="156"/>
      <c r="S320" s="156"/>
      <c r="T320" s="156"/>
      <c r="U320" s="156"/>
      <c r="V320" s="156"/>
      <c r="W320" s="156"/>
      <c r="X320" s="156"/>
      <c r="Y320" s="156"/>
      <c r="Z320" s="156"/>
      <c r="AA320" s="156"/>
      <c r="AB320" s="156"/>
      <c r="AC320" s="156"/>
      <c r="AD320" s="156"/>
      <c r="AE320" s="157"/>
    </row>
    <row r="321" spans="1:31" ht="65.25" thickBot="1">
      <c r="A321" s="83" t="s">
        <v>32</v>
      </c>
      <c r="B321" s="25" t="s">
        <v>182</v>
      </c>
      <c r="C321" s="84"/>
      <c r="D321" s="86"/>
      <c r="E321" s="86"/>
      <c r="F321" s="86"/>
      <c r="G321" s="86"/>
      <c r="H321" s="86"/>
      <c r="I321" s="86"/>
      <c r="J321" s="86"/>
      <c r="K321" s="86">
        <v>150</v>
      </c>
      <c r="L321" s="86"/>
      <c r="M321" s="86"/>
      <c r="N321" s="86"/>
      <c r="O321" s="87"/>
      <c r="P321" s="84"/>
      <c r="Q321" s="87"/>
      <c r="R321" s="84"/>
      <c r="S321" s="87"/>
      <c r="T321" s="84"/>
      <c r="U321" s="87"/>
      <c r="V321" s="84"/>
      <c r="W321" s="84"/>
      <c r="X321" s="87"/>
      <c r="Y321" s="84"/>
      <c r="Z321" s="84"/>
      <c r="AA321" s="87"/>
      <c r="AB321" s="84"/>
      <c r="AC321" s="87"/>
      <c r="AD321" s="88"/>
      <c r="AE321" s="83"/>
    </row>
    <row r="322" spans="1:31" ht="65.25" thickBot="1">
      <c r="A322" s="83"/>
      <c r="B322" s="22" t="s">
        <v>29</v>
      </c>
      <c r="C322" s="86">
        <f>SUM(C321)</f>
        <v>0</v>
      </c>
      <c r="D322" s="86">
        <f>SUM(D321)</f>
        <v>0</v>
      </c>
      <c r="E322" s="86">
        <f aca="true" t="shared" si="55" ref="E322:AD322">SUM(E321)</f>
        <v>0</v>
      </c>
      <c r="F322" s="86">
        <f t="shared" si="55"/>
        <v>0</v>
      </c>
      <c r="G322" s="86">
        <f t="shared" si="55"/>
        <v>0</v>
      </c>
      <c r="H322" s="86">
        <f t="shared" si="55"/>
        <v>0</v>
      </c>
      <c r="I322" s="86">
        <f t="shared" si="55"/>
        <v>0</v>
      </c>
      <c r="J322" s="86">
        <f t="shared" si="55"/>
        <v>0</v>
      </c>
      <c r="K322" s="86">
        <f t="shared" si="55"/>
        <v>150</v>
      </c>
      <c r="L322" s="86">
        <f t="shared" si="55"/>
        <v>0</v>
      </c>
      <c r="M322" s="86">
        <f t="shared" si="55"/>
        <v>0</v>
      </c>
      <c r="N322" s="86">
        <f t="shared" si="55"/>
        <v>0</v>
      </c>
      <c r="O322" s="86">
        <f t="shared" si="55"/>
        <v>0</v>
      </c>
      <c r="P322" s="86">
        <f t="shared" si="55"/>
        <v>0</v>
      </c>
      <c r="Q322" s="86">
        <f t="shared" si="55"/>
        <v>0</v>
      </c>
      <c r="R322" s="86">
        <f t="shared" si="55"/>
        <v>0</v>
      </c>
      <c r="S322" s="86">
        <f t="shared" si="55"/>
        <v>0</v>
      </c>
      <c r="T322" s="86">
        <f t="shared" si="55"/>
        <v>0</v>
      </c>
      <c r="U322" s="86">
        <f t="shared" si="55"/>
        <v>0</v>
      </c>
      <c r="V322" s="86">
        <f t="shared" si="55"/>
        <v>0</v>
      </c>
      <c r="W322" s="86">
        <f t="shared" si="55"/>
        <v>0</v>
      </c>
      <c r="X322" s="86">
        <f t="shared" si="55"/>
        <v>0</v>
      </c>
      <c r="Y322" s="86">
        <f t="shared" si="55"/>
        <v>0</v>
      </c>
      <c r="Z322" s="86">
        <f t="shared" si="55"/>
        <v>0</v>
      </c>
      <c r="AA322" s="86">
        <f t="shared" si="55"/>
        <v>0</v>
      </c>
      <c r="AB322" s="86">
        <f t="shared" si="55"/>
        <v>0</v>
      </c>
      <c r="AC322" s="86">
        <f t="shared" si="55"/>
        <v>0</v>
      </c>
      <c r="AD322" s="87">
        <f t="shared" si="55"/>
        <v>0</v>
      </c>
      <c r="AE322" s="83">
        <f>SUM(AE321)</f>
        <v>0</v>
      </c>
    </row>
    <row r="323" spans="1:31" ht="65.25" thickBot="1">
      <c r="A323" s="150" t="s">
        <v>8</v>
      </c>
      <c r="B323" s="151"/>
      <c r="C323" s="151"/>
      <c r="D323" s="151"/>
      <c r="E323" s="151"/>
      <c r="F323" s="151"/>
      <c r="G323" s="151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  <c r="W323" s="151"/>
      <c r="X323" s="151"/>
      <c r="Y323" s="151"/>
      <c r="Z323" s="151"/>
      <c r="AA323" s="151"/>
      <c r="AB323" s="151"/>
      <c r="AC323" s="151"/>
      <c r="AD323" s="151"/>
      <c r="AE323" s="152"/>
    </row>
    <row r="324" spans="1:31" ht="65.25" thickBot="1">
      <c r="A324" s="84">
        <v>88</v>
      </c>
      <c r="B324" s="129" t="s">
        <v>213</v>
      </c>
      <c r="C324" s="84"/>
      <c r="D324" s="86"/>
      <c r="E324" s="86"/>
      <c r="F324" s="86"/>
      <c r="G324" s="86"/>
      <c r="H324" s="86"/>
      <c r="I324" s="86"/>
      <c r="J324" s="86">
        <v>56</v>
      </c>
      <c r="K324" s="86"/>
      <c r="L324" s="86"/>
      <c r="M324" s="86"/>
      <c r="N324" s="86"/>
      <c r="O324" s="87"/>
      <c r="P324" s="83"/>
      <c r="Q324" s="87"/>
      <c r="R324" s="83">
        <v>5</v>
      </c>
      <c r="S324" s="87"/>
      <c r="T324" s="83"/>
      <c r="U324" s="87"/>
      <c r="V324" s="84"/>
      <c r="W324" s="83"/>
      <c r="X324" s="87"/>
      <c r="Y324" s="84"/>
      <c r="Z324" s="83"/>
      <c r="AA324" s="87"/>
      <c r="AB324" s="83"/>
      <c r="AC324" s="84"/>
      <c r="AD324" s="87"/>
      <c r="AE324" s="80"/>
    </row>
    <row r="325" spans="1:31" ht="129.75" thickBot="1">
      <c r="A325" s="83">
        <v>59</v>
      </c>
      <c r="B325" s="22" t="s">
        <v>265</v>
      </c>
      <c r="C325" s="84"/>
      <c r="D325" s="86"/>
      <c r="E325" s="86"/>
      <c r="F325" s="86"/>
      <c r="G325" s="86"/>
      <c r="H325" s="86"/>
      <c r="I325" s="86">
        <v>38</v>
      </c>
      <c r="J325" s="86">
        <v>48</v>
      </c>
      <c r="K325" s="86"/>
      <c r="L325" s="86"/>
      <c r="M325" s="86"/>
      <c r="N325" s="83"/>
      <c r="O325" s="87"/>
      <c r="P325" s="83"/>
      <c r="Q325" s="87">
        <v>3</v>
      </c>
      <c r="R325" s="83"/>
      <c r="S325" s="87"/>
      <c r="T325" s="83"/>
      <c r="U325" s="87"/>
      <c r="V325" s="83"/>
      <c r="W325" s="87">
        <v>13</v>
      </c>
      <c r="X325" s="83"/>
      <c r="Y325" s="84"/>
      <c r="Z325" s="83">
        <v>8</v>
      </c>
      <c r="AA325" s="83"/>
      <c r="AB325" s="87"/>
      <c r="AC325" s="83"/>
      <c r="AD325" s="90"/>
      <c r="AE325" s="83"/>
    </row>
    <row r="326" spans="1:31" ht="65.25" thickBot="1">
      <c r="A326" s="84">
        <v>62</v>
      </c>
      <c r="B326" s="22" t="s">
        <v>235</v>
      </c>
      <c r="C326" s="83"/>
      <c r="D326" s="86"/>
      <c r="E326" s="86"/>
      <c r="F326" s="86"/>
      <c r="G326" s="86">
        <v>57</v>
      </c>
      <c r="H326" s="86"/>
      <c r="I326" s="86"/>
      <c r="J326" s="86">
        <v>27</v>
      </c>
      <c r="K326" s="86"/>
      <c r="L326" s="86"/>
      <c r="M326" s="86"/>
      <c r="N326" s="86"/>
      <c r="O326" s="86"/>
      <c r="P326" s="86"/>
      <c r="Q326" s="86">
        <v>2</v>
      </c>
      <c r="R326" s="86">
        <v>8</v>
      </c>
      <c r="S326" s="86"/>
      <c r="T326" s="86"/>
      <c r="U326" s="86"/>
      <c r="V326" s="86"/>
      <c r="W326" s="86"/>
      <c r="X326" s="86">
        <v>147</v>
      </c>
      <c r="Y326" s="86"/>
      <c r="Z326" s="86"/>
      <c r="AA326" s="86"/>
      <c r="AB326" s="86"/>
      <c r="AC326" s="86"/>
      <c r="AD326" s="87"/>
      <c r="AE326" s="83"/>
    </row>
    <row r="327" spans="1:31" ht="194.25" thickBot="1">
      <c r="A327" s="83">
        <v>20</v>
      </c>
      <c r="B327" s="22" t="s">
        <v>232</v>
      </c>
      <c r="C327" s="84"/>
      <c r="D327" s="85"/>
      <c r="E327" s="85"/>
      <c r="F327" s="85">
        <v>9.5</v>
      </c>
      <c r="G327" s="85"/>
      <c r="H327" s="86"/>
      <c r="I327" s="86"/>
      <c r="J327" s="86"/>
      <c r="K327" s="86"/>
      <c r="L327" s="86"/>
      <c r="M327" s="86"/>
      <c r="N327" s="86"/>
      <c r="O327" s="87"/>
      <c r="P327" s="84">
        <v>8</v>
      </c>
      <c r="Q327" s="87"/>
      <c r="R327" s="84"/>
      <c r="S327" s="87"/>
      <c r="T327" s="84"/>
      <c r="U327" s="87"/>
      <c r="V327" s="83"/>
      <c r="W327" s="84"/>
      <c r="X327" s="87"/>
      <c r="Y327" s="83"/>
      <c r="Z327" s="84"/>
      <c r="AA327" s="84"/>
      <c r="AB327" s="87"/>
      <c r="AC327" s="83"/>
      <c r="AD327" s="88"/>
      <c r="AE327" s="84"/>
    </row>
    <row r="328" spans="1:31" ht="129.75" thickBot="1">
      <c r="A328" s="83" t="s">
        <v>32</v>
      </c>
      <c r="B328" s="22" t="s">
        <v>56</v>
      </c>
      <c r="C328" s="84">
        <v>25</v>
      </c>
      <c r="D328" s="86"/>
      <c r="E328" s="86"/>
      <c r="F328" s="86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  <c r="S328" s="86"/>
      <c r="T328" s="86"/>
      <c r="U328" s="87"/>
      <c r="V328" s="83"/>
      <c r="W328" s="86"/>
      <c r="X328" s="87"/>
      <c r="Y328" s="83"/>
      <c r="Z328" s="86"/>
      <c r="AA328" s="86"/>
      <c r="AB328" s="86"/>
      <c r="AC328" s="86"/>
      <c r="AD328" s="87"/>
      <c r="AE328" s="83"/>
    </row>
    <row r="329" spans="1:31" ht="129.75" thickBot="1">
      <c r="A329" s="83" t="s">
        <v>32</v>
      </c>
      <c r="B329" s="22" t="s">
        <v>58</v>
      </c>
      <c r="C329" s="84"/>
      <c r="D329" s="86">
        <v>50</v>
      </c>
      <c r="E329" s="86"/>
      <c r="F329" s="86"/>
      <c r="G329" s="86"/>
      <c r="H329" s="86"/>
      <c r="I329" s="85"/>
      <c r="J329" s="85"/>
      <c r="K329" s="85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85"/>
      <c r="AC329" s="85"/>
      <c r="AD329" s="91"/>
      <c r="AE329" s="83"/>
    </row>
    <row r="330" spans="1:31" ht="65.25" thickBot="1">
      <c r="A330" s="84"/>
      <c r="B330" s="25" t="s">
        <v>29</v>
      </c>
      <c r="C330" s="84">
        <f aca="true" t="shared" si="56" ref="C330:AE330">SUM(C324:C329)</f>
        <v>25</v>
      </c>
      <c r="D330" s="84">
        <f t="shared" si="56"/>
        <v>50</v>
      </c>
      <c r="E330" s="84">
        <f t="shared" si="56"/>
        <v>0</v>
      </c>
      <c r="F330" s="84">
        <f t="shared" si="56"/>
        <v>9.5</v>
      </c>
      <c r="G330" s="84">
        <f t="shared" si="56"/>
        <v>57</v>
      </c>
      <c r="H330" s="84">
        <f t="shared" si="56"/>
        <v>0</v>
      </c>
      <c r="I330" s="84">
        <f t="shared" si="56"/>
        <v>38</v>
      </c>
      <c r="J330" s="84">
        <f t="shared" si="56"/>
        <v>131</v>
      </c>
      <c r="K330" s="84">
        <f t="shared" si="56"/>
        <v>0</v>
      </c>
      <c r="L330" s="84">
        <f t="shared" si="56"/>
        <v>0</v>
      </c>
      <c r="M330" s="84">
        <f t="shared" si="56"/>
        <v>0</v>
      </c>
      <c r="N330" s="84">
        <f t="shared" si="56"/>
        <v>0</v>
      </c>
      <c r="O330" s="84">
        <f t="shared" si="56"/>
        <v>0</v>
      </c>
      <c r="P330" s="84">
        <f t="shared" si="56"/>
        <v>8</v>
      </c>
      <c r="Q330" s="84">
        <f t="shared" si="56"/>
        <v>5</v>
      </c>
      <c r="R330" s="84">
        <f t="shared" si="56"/>
        <v>13</v>
      </c>
      <c r="S330" s="84">
        <f t="shared" si="56"/>
        <v>0</v>
      </c>
      <c r="T330" s="84">
        <f t="shared" si="56"/>
        <v>0</v>
      </c>
      <c r="U330" s="84">
        <f t="shared" si="56"/>
        <v>0</v>
      </c>
      <c r="V330" s="84">
        <f t="shared" si="56"/>
        <v>0</v>
      </c>
      <c r="W330" s="84">
        <f t="shared" si="56"/>
        <v>13</v>
      </c>
      <c r="X330" s="84">
        <f t="shared" si="56"/>
        <v>147</v>
      </c>
      <c r="Y330" s="84">
        <f t="shared" si="56"/>
        <v>0</v>
      </c>
      <c r="Z330" s="84">
        <f t="shared" si="56"/>
        <v>8</v>
      </c>
      <c r="AA330" s="84">
        <f t="shared" si="56"/>
        <v>0</v>
      </c>
      <c r="AB330" s="84">
        <f t="shared" si="56"/>
        <v>0</v>
      </c>
      <c r="AC330" s="84">
        <f t="shared" si="56"/>
        <v>0</v>
      </c>
      <c r="AD330" s="88">
        <f t="shared" si="56"/>
        <v>0</v>
      </c>
      <c r="AE330" s="84">
        <f t="shared" si="56"/>
        <v>0</v>
      </c>
    </row>
    <row r="331" spans="1:31" ht="65.25" thickBot="1">
      <c r="A331" s="150" t="s">
        <v>145</v>
      </c>
      <c r="B331" s="151"/>
      <c r="C331" s="151"/>
      <c r="D331" s="151"/>
      <c r="E331" s="151"/>
      <c r="F331" s="151"/>
      <c r="G331" s="151"/>
      <c r="H331" s="151"/>
      <c r="I331" s="151"/>
      <c r="J331" s="151"/>
      <c r="K331" s="151"/>
      <c r="L331" s="151"/>
      <c r="M331" s="151"/>
      <c r="N331" s="151"/>
      <c r="O331" s="151"/>
      <c r="P331" s="151"/>
      <c r="Q331" s="151"/>
      <c r="R331" s="151"/>
      <c r="S331" s="151"/>
      <c r="T331" s="151"/>
      <c r="U331" s="151"/>
      <c r="V331" s="151"/>
      <c r="W331" s="151"/>
      <c r="X331" s="151"/>
      <c r="Y331" s="151"/>
      <c r="Z331" s="151"/>
      <c r="AA331" s="151"/>
      <c r="AB331" s="151"/>
      <c r="AC331" s="151"/>
      <c r="AD331" s="151"/>
      <c r="AE331" s="152"/>
    </row>
    <row r="332" spans="1:31" ht="129.75" thickBot="1">
      <c r="A332" s="92">
        <v>21.1</v>
      </c>
      <c r="B332" s="27" t="s">
        <v>172</v>
      </c>
      <c r="C332" s="83"/>
      <c r="D332" s="86"/>
      <c r="E332" s="83"/>
      <c r="F332" s="83"/>
      <c r="G332" s="83"/>
      <c r="H332" s="86"/>
      <c r="I332" s="86"/>
      <c r="J332" s="86"/>
      <c r="K332" s="86"/>
      <c r="L332" s="86"/>
      <c r="M332" s="86"/>
      <c r="N332" s="86"/>
      <c r="O332" s="87"/>
      <c r="P332" s="84"/>
      <c r="Q332" s="87"/>
      <c r="R332" s="84"/>
      <c r="S332" s="87"/>
      <c r="T332" s="84">
        <v>185</v>
      </c>
      <c r="U332" s="87"/>
      <c r="V332" s="84"/>
      <c r="W332" s="84"/>
      <c r="X332" s="87"/>
      <c r="Y332" s="84"/>
      <c r="Z332" s="84"/>
      <c r="AA332" s="87"/>
      <c r="AB332" s="84"/>
      <c r="AC332" s="87"/>
      <c r="AD332" s="88"/>
      <c r="AE332" s="83"/>
    </row>
    <row r="333" spans="1:31" ht="129.75" thickBot="1">
      <c r="A333" s="84">
        <v>75</v>
      </c>
      <c r="B333" s="22" t="s">
        <v>214</v>
      </c>
      <c r="C333" s="84"/>
      <c r="D333" s="86"/>
      <c r="E333" s="86">
        <v>28</v>
      </c>
      <c r="F333" s="86"/>
      <c r="G333" s="86"/>
      <c r="H333" s="86"/>
      <c r="I333" s="85"/>
      <c r="J333" s="85"/>
      <c r="K333" s="85"/>
      <c r="L333" s="85"/>
      <c r="M333" s="85"/>
      <c r="N333" s="85"/>
      <c r="O333" s="85"/>
      <c r="P333" s="85">
        <v>11</v>
      </c>
      <c r="Q333" s="85">
        <v>10.5</v>
      </c>
      <c r="R333" s="85">
        <v>1</v>
      </c>
      <c r="S333" s="85">
        <v>3.5</v>
      </c>
      <c r="T333" s="85"/>
      <c r="U333" s="85">
        <v>24</v>
      </c>
      <c r="V333" s="85"/>
      <c r="W333" s="85"/>
      <c r="X333" s="85"/>
      <c r="Y333" s="85"/>
      <c r="Z333" s="85">
        <v>2</v>
      </c>
      <c r="AA333" s="85"/>
      <c r="AB333" s="85"/>
      <c r="AC333" s="85"/>
      <c r="AD333" s="91"/>
      <c r="AE333" s="84"/>
    </row>
    <row r="334" spans="1:31" ht="65.25" thickBot="1">
      <c r="A334" s="84"/>
      <c r="B334" s="22" t="s">
        <v>29</v>
      </c>
      <c r="C334" s="84">
        <f aca="true" t="shared" si="57" ref="C334:AE334">C332+C333</f>
        <v>0</v>
      </c>
      <c r="D334" s="84">
        <f t="shared" si="57"/>
        <v>0</v>
      </c>
      <c r="E334" s="84">
        <f t="shared" si="57"/>
        <v>28</v>
      </c>
      <c r="F334" s="84">
        <f t="shared" si="57"/>
        <v>0</v>
      </c>
      <c r="G334" s="84">
        <f t="shared" si="57"/>
        <v>0</v>
      </c>
      <c r="H334" s="84">
        <f t="shared" si="57"/>
        <v>0</v>
      </c>
      <c r="I334" s="84">
        <f t="shared" si="57"/>
        <v>0</v>
      </c>
      <c r="J334" s="84">
        <f t="shared" si="57"/>
        <v>0</v>
      </c>
      <c r="K334" s="84">
        <f t="shared" si="57"/>
        <v>0</v>
      </c>
      <c r="L334" s="84">
        <f t="shared" si="57"/>
        <v>0</v>
      </c>
      <c r="M334" s="84">
        <f t="shared" si="57"/>
        <v>0</v>
      </c>
      <c r="N334" s="84">
        <f t="shared" si="57"/>
        <v>0</v>
      </c>
      <c r="O334" s="84">
        <f t="shared" si="57"/>
        <v>0</v>
      </c>
      <c r="P334" s="84">
        <f t="shared" si="57"/>
        <v>11</v>
      </c>
      <c r="Q334" s="84">
        <f t="shared" si="57"/>
        <v>10.5</v>
      </c>
      <c r="R334" s="84">
        <f t="shared" si="57"/>
        <v>1</v>
      </c>
      <c r="S334" s="84">
        <f t="shared" si="57"/>
        <v>3.5</v>
      </c>
      <c r="T334" s="84">
        <f t="shared" si="57"/>
        <v>185</v>
      </c>
      <c r="U334" s="84">
        <f t="shared" si="57"/>
        <v>24</v>
      </c>
      <c r="V334" s="84">
        <f t="shared" si="57"/>
        <v>0</v>
      </c>
      <c r="W334" s="84">
        <f t="shared" si="57"/>
        <v>0</v>
      </c>
      <c r="X334" s="84">
        <f t="shared" si="57"/>
        <v>0</v>
      </c>
      <c r="Y334" s="84">
        <f t="shared" si="57"/>
        <v>0</v>
      </c>
      <c r="Z334" s="84">
        <f t="shared" si="57"/>
        <v>2</v>
      </c>
      <c r="AA334" s="84">
        <f t="shared" si="57"/>
        <v>0</v>
      </c>
      <c r="AB334" s="84">
        <f t="shared" si="57"/>
        <v>0</v>
      </c>
      <c r="AC334" s="84">
        <f t="shared" si="57"/>
        <v>0</v>
      </c>
      <c r="AD334" s="84">
        <f t="shared" si="57"/>
        <v>0</v>
      </c>
      <c r="AE334" s="84">
        <f t="shared" si="57"/>
        <v>0</v>
      </c>
    </row>
    <row r="335" spans="1:31" ht="65.25" thickBot="1">
      <c r="A335" s="150" t="s">
        <v>144</v>
      </c>
      <c r="B335" s="151"/>
      <c r="C335" s="151"/>
      <c r="D335" s="151"/>
      <c r="E335" s="151"/>
      <c r="F335" s="151"/>
      <c r="G335" s="151"/>
      <c r="H335" s="151"/>
      <c r="I335" s="151"/>
      <c r="J335" s="151"/>
      <c r="K335" s="151"/>
      <c r="L335" s="151"/>
      <c r="M335" s="151"/>
      <c r="N335" s="151"/>
      <c r="O335" s="151"/>
      <c r="P335" s="151"/>
      <c r="Q335" s="151"/>
      <c r="R335" s="151"/>
      <c r="S335" s="151"/>
      <c r="T335" s="151"/>
      <c r="U335" s="151"/>
      <c r="V335" s="151"/>
      <c r="W335" s="151"/>
      <c r="X335" s="151"/>
      <c r="Y335" s="151"/>
      <c r="Z335" s="151"/>
      <c r="AA335" s="151"/>
      <c r="AB335" s="151"/>
      <c r="AC335" s="151"/>
      <c r="AD335" s="151"/>
      <c r="AE335" s="152"/>
    </row>
    <row r="336" spans="1:31" ht="65.25" thickBot="1">
      <c r="A336" s="84">
        <v>44</v>
      </c>
      <c r="B336" s="22" t="s">
        <v>254</v>
      </c>
      <c r="C336" s="86"/>
      <c r="D336" s="86"/>
      <c r="E336" s="86">
        <v>3</v>
      </c>
      <c r="F336" s="86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>
        <v>6</v>
      </c>
      <c r="S336" s="86">
        <v>20</v>
      </c>
      <c r="T336" s="86">
        <v>9</v>
      </c>
      <c r="U336" s="86"/>
      <c r="V336" s="86"/>
      <c r="W336" s="86"/>
      <c r="X336" s="86"/>
      <c r="Y336" s="86">
        <v>114</v>
      </c>
      <c r="Z336" s="86"/>
      <c r="AA336" s="86"/>
      <c r="AB336" s="86"/>
      <c r="AC336" s="86"/>
      <c r="AD336" s="87"/>
      <c r="AE336" s="83"/>
    </row>
    <row r="337" spans="1:31" ht="65.25" thickBot="1">
      <c r="A337" s="84">
        <v>79</v>
      </c>
      <c r="B337" s="22" t="s">
        <v>262</v>
      </c>
      <c r="C337" s="84"/>
      <c r="D337" s="86"/>
      <c r="E337" s="86"/>
      <c r="F337" s="86"/>
      <c r="G337" s="86"/>
      <c r="H337" s="86"/>
      <c r="I337" s="86">
        <v>129</v>
      </c>
      <c r="J337" s="86"/>
      <c r="K337" s="86"/>
      <c r="L337" s="86"/>
      <c r="M337" s="86"/>
      <c r="N337" s="86"/>
      <c r="O337" s="87"/>
      <c r="P337" s="83"/>
      <c r="Q337" s="87">
        <v>6</v>
      </c>
      <c r="R337" s="83"/>
      <c r="S337" s="87"/>
      <c r="T337" s="83"/>
      <c r="U337" s="90"/>
      <c r="V337" s="83"/>
      <c r="W337" s="83"/>
      <c r="X337" s="87"/>
      <c r="Y337" s="83"/>
      <c r="Z337" s="83"/>
      <c r="AA337" s="87"/>
      <c r="AB337" s="83"/>
      <c r="AC337" s="87"/>
      <c r="AD337" s="90"/>
      <c r="AE337" s="83"/>
    </row>
    <row r="338" spans="1:31" ht="129.75" thickBot="1">
      <c r="A338" s="83" t="s">
        <v>32</v>
      </c>
      <c r="B338" s="22" t="s">
        <v>56</v>
      </c>
      <c r="C338" s="84">
        <v>25</v>
      </c>
      <c r="D338" s="86"/>
      <c r="E338" s="86"/>
      <c r="F338" s="86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7"/>
      <c r="AD338" s="90"/>
      <c r="AE338" s="83"/>
    </row>
    <row r="339" spans="1:31" ht="65.25" thickBot="1">
      <c r="A339" s="89">
        <v>31</v>
      </c>
      <c r="B339" s="23" t="s">
        <v>9</v>
      </c>
      <c r="C339" s="84"/>
      <c r="D339" s="86"/>
      <c r="E339" s="86"/>
      <c r="F339" s="86"/>
      <c r="G339" s="86"/>
      <c r="H339" s="86"/>
      <c r="I339" s="86"/>
      <c r="J339" s="86"/>
      <c r="K339" s="86"/>
      <c r="L339" s="86"/>
      <c r="M339" s="86">
        <v>5</v>
      </c>
      <c r="N339" s="86"/>
      <c r="O339" s="86"/>
      <c r="P339" s="84">
        <v>12</v>
      </c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4">
        <v>0.58</v>
      </c>
      <c r="AC339" s="86"/>
      <c r="AD339" s="87"/>
      <c r="AE339" s="83"/>
    </row>
    <row r="340" spans="1:31" ht="129.75" thickBot="1">
      <c r="A340" s="83">
        <v>69</v>
      </c>
      <c r="B340" s="22" t="s">
        <v>106</v>
      </c>
      <c r="C340" s="84"/>
      <c r="D340" s="86"/>
      <c r="E340" s="86"/>
      <c r="F340" s="86"/>
      <c r="G340" s="86"/>
      <c r="H340" s="86"/>
      <c r="I340" s="86"/>
      <c r="J340" s="86"/>
      <c r="K340" s="86"/>
      <c r="L340" s="86"/>
      <c r="M340" s="86">
        <v>85</v>
      </c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7"/>
      <c r="AE340" s="84"/>
    </row>
    <row r="341" spans="1:31" ht="65.25" thickBot="1">
      <c r="A341" s="83"/>
      <c r="B341" s="22" t="s">
        <v>29</v>
      </c>
      <c r="C341" s="84">
        <f>C336+C337+C338+C339+C340</f>
        <v>25</v>
      </c>
      <c r="D341" s="84">
        <f aca="true" t="shared" si="58" ref="D341:AE341">D336+D337+D338+D339+D340</f>
        <v>0</v>
      </c>
      <c r="E341" s="84">
        <f t="shared" si="58"/>
        <v>3</v>
      </c>
      <c r="F341" s="84">
        <f t="shared" si="58"/>
        <v>0</v>
      </c>
      <c r="G341" s="84">
        <f t="shared" si="58"/>
        <v>0</v>
      </c>
      <c r="H341" s="84">
        <f t="shared" si="58"/>
        <v>0</v>
      </c>
      <c r="I341" s="84">
        <f t="shared" si="58"/>
        <v>129</v>
      </c>
      <c r="J341" s="84">
        <f t="shared" si="58"/>
        <v>0</v>
      </c>
      <c r="K341" s="84">
        <f t="shared" si="58"/>
        <v>0</v>
      </c>
      <c r="L341" s="84">
        <f t="shared" si="58"/>
        <v>0</v>
      </c>
      <c r="M341" s="84">
        <f t="shared" si="58"/>
        <v>90</v>
      </c>
      <c r="N341" s="84">
        <f t="shared" si="58"/>
        <v>0</v>
      </c>
      <c r="O341" s="84">
        <f t="shared" si="58"/>
        <v>0</v>
      </c>
      <c r="P341" s="84">
        <f t="shared" si="58"/>
        <v>12</v>
      </c>
      <c r="Q341" s="84">
        <f t="shared" si="58"/>
        <v>6</v>
      </c>
      <c r="R341" s="84">
        <f t="shared" si="58"/>
        <v>6</v>
      </c>
      <c r="S341" s="84">
        <f t="shared" si="58"/>
        <v>20</v>
      </c>
      <c r="T341" s="84">
        <f t="shared" si="58"/>
        <v>9</v>
      </c>
      <c r="U341" s="84">
        <f t="shared" si="58"/>
        <v>0</v>
      </c>
      <c r="V341" s="84">
        <f t="shared" si="58"/>
        <v>0</v>
      </c>
      <c r="W341" s="84">
        <f t="shared" si="58"/>
        <v>0</v>
      </c>
      <c r="X341" s="84">
        <f t="shared" si="58"/>
        <v>0</v>
      </c>
      <c r="Y341" s="84">
        <f t="shared" si="58"/>
        <v>114</v>
      </c>
      <c r="Z341" s="84">
        <f t="shared" si="58"/>
        <v>0</v>
      </c>
      <c r="AA341" s="84">
        <f t="shared" si="58"/>
        <v>0</v>
      </c>
      <c r="AB341" s="84">
        <f t="shared" si="58"/>
        <v>0.58</v>
      </c>
      <c r="AC341" s="84">
        <f t="shared" si="58"/>
        <v>0</v>
      </c>
      <c r="AD341" s="84">
        <f t="shared" si="58"/>
        <v>0</v>
      </c>
      <c r="AE341" s="84">
        <f t="shared" si="58"/>
        <v>0</v>
      </c>
    </row>
    <row r="342" spans="1:31" ht="194.25" thickBot="1">
      <c r="A342" s="145"/>
      <c r="B342" s="22" t="s">
        <v>150</v>
      </c>
      <c r="C342" s="84"/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8"/>
      <c r="AE342" s="84"/>
    </row>
    <row r="343" spans="1:31" ht="65.25" thickBot="1">
      <c r="A343" s="83"/>
      <c r="B343" s="93" t="s">
        <v>10</v>
      </c>
      <c r="C343" s="84">
        <f aca="true" t="shared" si="59" ref="C343:AE343">C319+C322+C330+C334+C341</f>
        <v>75</v>
      </c>
      <c r="D343" s="84">
        <f t="shared" si="59"/>
        <v>50</v>
      </c>
      <c r="E343" s="84">
        <f t="shared" si="59"/>
        <v>31</v>
      </c>
      <c r="F343" s="84">
        <f t="shared" si="59"/>
        <v>9.5</v>
      </c>
      <c r="G343" s="84">
        <f t="shared" si="59"/>
        <v>57</v>
      </c>
      <c r="H343" s="84">
        <f t="shared" si="59"/>
        <v>15</v>
      </c>
      <c r="I343" s="84">
        <f t="shared" si="59"/>
        <v>167</v>
      </c>
      <c r="J343" s="84">
        <f t="shared" si="59"/>
        <v>131</v>
      </c>
      <c r="K343" s="84">
        <f t="shared" si="59"/>
        <v>150</v>
      </c>
      <c r="L343" s="84">
        <f t="shared" si="59"/>
        <v>0</v>
      </c>
      <c r="M343" s="84">
        <f t="shared" si="59"/>
        <v>100</v>
      </c>
      <c r="N343" s="84">
        <f t="shared" si="59"/>
        <v>0</v>
      </c>
      <c r="O343" s="84">
        <f t="shared" si="59"/>
        <v>0</v>
      </c>
      <c r="P343" s="84">
        <f t="shared" si="59"/>
        <v>47</v>
      </c>
      <c r="Q343" s="84">
        <f t="shared" si="59"/>
        <v>22.4</v>
      </c>
      <c r="R343" s="84">
        <f t="shared" si="59"/>
        <v>20</v>
      </c>
      <c r="S343" s="84">
        <f t="shared" si="59"/>
        <v>23.5</v>
      </c>
      <c r="T343" s="84">
        <f t="shared" si="59"/>
        <v>433</v>
      </c>
      <c r="U343" s="84">
        <f t="shared" si="59"/>
        <v>24</v>
      </c>
      <c r="V343" s="84">
        <f t="shared" si="59"/>
        <v>0</v>
      </c>
      <c r="W343" s="84">
        <f t="shared" si="59"/>
        <v>13</v>
      </c>
      <c r="X343" s="84">
        <f t="shared" si="59"/>
        <v>147</v>
      </c>
      <c r="Y343" s="84">
        <f t="shared" si="59"/>
        <v>114</v>
      </c>
      <c r="Z343" s="84">
        <f t="shared" si="59"/>
        <v>10</v>
      </c>
      <c r="AA343" s="84">
        <f t="shared" si="59"/>
        <v>0</v>
      </c>
      <c r="AB343" s="84">
        <f t="shared" si="59"/>
        <v>0.58</v>
      </c>
      <c r="AC343" s="84">
        <f t="shared" si="59"/>
        <v>2.4</v>
      </c>
      <c r="AD343" s="84">
        <f t="shared" si="59"/>
        <v>0</v>
      </c>
      <c r="AE343" s="84">
        <f t="shared" si="59"/>
        <v>0</v>
      </c>
    </row>
    <row r="344" spans="1:31" ht="65.25" thickBot="1">
      <c r="A344" s="150" t="s">
        <v>40</v>
      </c>
      <c r="B344" s="151"/>
      <c r="C344" s="151"/>
      <c r="D344" s="151"/>
      <c r="E344" s="151"/>
      <c r="F344" s="151"/>
      <c r="G344" s="151"/>
      <c r="H344" s="151"/>
      <c r="I344" s="151"/>
      <c r="J344" s="151"/>
      <c r="K344" s="151"/>
      <c r="L344" s="151"/>
      <c r="M344" s="151"/>
      <c r="N344" s="151"/>
      <c r="O344" s="151"/>
      <c r="P344" s="151"/>
      <c r="Q344" s="151"/>
      <c r="R344" s="151"/>
      <c r="S344" s="151"/>
      <c r="T344" s="151"/>
      <c r="U344" s="151"/>
      <c r="V344" s="151"/>
      <c r="W344" s="151"/>
      <c r="X344" s="151"/>
      <c r="Y344" s="151"/>
      <c r="Z344" s="151"/>
      <c r="AA344" s="151"/>
      <c r="AB344" s="151"/>
      <c r="AC344" s="151"/>
      <c r="AD344" s="151"/>
      <c r="AE344" s="152"/>
    </row>
    <row r="345" spans="1:31" ht="65.25" thickBot="1">
      <c r="A345" s="150" t="s">
        <v>86</v>
      </c>
      <c r="B345" s="151"/>
      <c r="C345" s="151"/>
      <c r="D345" s="151"/>
      <c r="E345" s="151"/>
      <c r="F345" s="151"/>
      <c r="G345" s="151"/>
      <c r="H345" s="151"/>
      <c r="I345" s="151"/>
      <c r="J345" s="151"/>
      <c r="K345" s="151"/>
      <c r="L345" s="151"/>
      <c r="M345" s="151"/>
      <c r="N345" s="151"/>
      <c r="O345" s="151"/>
      <c r="P345" s="151"/>
      <c r="Q345" s="151"/>
      <c r="R345" s="151"/>
      <c r="S345" s="151"/>
      <c r="T345" s="151"/>
      <c r="U345" s="151"/>
      <c r="V345" s="151"/>
      <c r="W345" s="151"/>
      <c r="X345" s="151"/>
      <c r="Y345" s="151"/>
      <c r="Z345" s="151"/>
      <c r="AA345" s="151"/>
      <c r="AB345" s="151"/>
      <c r="AC345" s="151"/>
      <c r="AD345" s="151"/>
      <c r="AE345" s="152"/>
    </row>
    <row r="346" spans="1:31" ht="46.5" customHeight="1">
      <c r="A346" s="166" t="s">
        <v>30</v>
      </c>
      <c r="B346" s="168" t="s">
        <v>23</v>
      </c>
      <c r="C346" s="153" t="s">
        <v>116</v>
      </c>
      <c r="D346" s="153" t="s">
        <v>117</v>
      </c>
      <c r="E346" s="153" t="s">
        <v>130</v>
      </c>
      <c r="F346" s="153" t="s">
        <v>119</v>
      </c>
      <c r="G346" s="153" t="s">
        <v>131</v>
      </c>
      <c r="H346" s="153" t="s">
        <v>132</v>
      </c>
      <c r="I346" s="153" t="s">
        <v>110</v>
      </c>
      <c r="J346" s="153" t="s">
        <v>257</v>
      </c>
      <c r="K346" s="140"/>
      <c r="L346" s="140"/>
      <c r="M346" s="153" t="s">
        <v>142</v>
      </c>
      <c r="N346" s="153" t="s">
        <v>79</v>
      </c>
      <c r="O346" s="153" t="s">
        <v>139</v>
      </c>
      <c r="P346" s="153" t="s">
        <v>80</v>
      </c>
      <c r="Q346" s="153" t="s">
        <v>124</v>
      </c>
      <c r="R346" s="153" t="s">
        <v>81</v>
      </c>
      <c r="S346" s="153" t="s">
        <v>134</v>
      </c>
      <c r="T346" s="153" t="s">
        <v>135</v>
      </c>
      <c r="U346" s="153" t="s">
        <v>136</v>
      </c>
      <c r="V346" s="140"/>
      <c r="W346" s="153" t="s">
        <v>113</v>
      </c>
      <c r="X346" s="153" t="s">
        <v>129</v>
      </c>
      <c r="Y346" s="153" t="s">
        <v>84</v>
      </c>
      <c r="Z346" s="153" t="s">
        <v>82</v>
      </c>
      <c r="AA346" s="153" t="s">
        <v>83</v>
      </c>
      <c r="AB346" s="153" t="s">
        <v>85</v>
      </c>
      <c r="AC346" s="140"/>
      <c r="AD346" s="158" t="s">
        <v>78</v>
      </c>
      <c r="AE346" s="153" t="s">
        <v>137</v>
      </c>
    </row>
    <row r="347" spans="1:31" ht="409.5" thickBot="1">
      <c r="A347" s="167"/>
      <c r="B347" s="169"/>
      <c r="C347" s="154"/>
      <c r="D347" s="154"/>
      <c r="E347" s="154"/>
      <c r="F347" s="154"/>
      <c r="G347" s="154"/>
      <c r="H347" s="154"/>
      <c r="I347" s="154"/>
      <c r="J347" s="154"/>
      <c r="K347" s="141" t="s">
        <v>133</v>
      </c>
      <c r="L347" s="141" t="s">
        <v>143</v>
      </c>
      <c r="M347" s="154"/>
      <c r="N347" s="154"/>
      <c r="O347" s="154"/>
      <c r="P347" s="154"/>
      <c r="Q347" s="154"/>
      <c r="R347" s="154"/>
      <c r="S347" s="154"/>
      <c r="T347" s="154"/>
      <c r="U347" s="154"/>
      <c r="V347" s="141" t="s">
        <v>140</v>
      </c>
      <c r="W347" s="154"/>
      <c r="X347" s="154"/>
      <c r="Y347" s="154"/>
      <c r="Z347" s="154"/>
      <c r="AA347" s="154"/>
      <c r="AB347" s="154"/>
      <c r="AC347" s="141" t="s">
        <v>77</v>
      </c>
      <c r="AD347" s="159"/>
      <c r="AE347" s="154"/>
    </row>
    <row r="348" spans="1:31" ht="65.25" thickBot="1">
      <c r="A348" s="145">
        <v>1</v>
      </c>
      <c r="B348" s="79">
        <v>2</v>
      </c>
      <c r="C348" s="80" t="s">
        <v>54</v>
      </c>
      <c r="D348" s="81">
        <v>4</v>
      </c>
      <c r="E348" s="80">
        <v>5</v>
      </c>
      <c r="F348" s="80">
        <v>6</v>
      </c>
      <c r="G348" s="80">
        <v>7</v>
      </c>
      <c r="H348" s="80">
        <v>8</v>
      </c>
      <c r="I348" s="80" t="s">
        <v>55</v>
      </c>
      <c r="J348" s="81">
        <v>10</v>
      </c>
      <c r="K348" s="80">
        <v>11</v>
      </c>
      <c r="L348" s="108">
        <v>12</v>
      </c>
      <c r="M348" s="80">
        <v>13</v>
      </c>
      <c r="N348" s="80">
        <v>14</v>
      </c>
      <c r="O348" s="80">
        <v>15</v>
      </c>
      <c r="P348" s="80">
        <v>16</v>
      </c>
      <c r="Q348" s="143">
        <v>17</v>
      </c>
      <c r="R348" s="80">
        <v>18</v>
      </c>
      <c r="S348" s="143">
        <v>19</v>
      </c>
      <c r="T348" s="80">
        <v>20</v>
      </c>
      <c r="U348" s="143">
        <v>21</v>
      </c>
      <c r="V348" s="143">
        <v>22</v>
      </c>
      <c r="W348" s="80">
        <v>23</v>
      </c>
      <c r="X348" s="80">
        <v>24</v>
      </c>
      <c r="Y348" s="143">
        <v>25</v>
      </c>
      <c r="Z348" s="80">
        <v>26</v>
      </c>
      <c r="AA348" s="80">
        <v>27</v>
      </c>
      <c r="AB348" s="80">
        <v>28</v>
      </c>
      <c r="AC348" s="143">
        <v>29</v>
      </c>
      <c r="AD348" s="142">
        <v>30</v>
      </c>
      <c r="AE348" s="80">
        <v>32</v>
      </c>
    </row>
    <row r="349" spans="1:31" ht="65.25" thickBot="1">
      <c r="A349" s="150" t="s">
        <v>5</v>
      </c>
      <c r="B349" s="151"/>
      <c r="C349" s="151"/>
      <c r="D349" s="151"/>
      <c r="E349" s="151"/>
      <c r="F349" s="151"/>
      <c r="G349" s="151"/>
      <c r="H349" s="151"/>
      <c r="I349" s="151"/>
      <c r="J349" s="151"/>
      <c r="K349" s="151"/>
      <c r="L349" s="151"/>
      <c r="M349" s="151"/>
      <c r="N349" s="151"/>
      <c r="O349" s="151"/>
      <c r="P349" s="151"/>
      <c r="Q349" s="151"/>
      <c r="R349" s="151"/>
      <c r="S349" s="151"/>
      <c r="T349" s="151"/>
      <c r="U349" s="151"/>
      <c r="V349" s="151"/>
      <c r="W349" s="151"/>
      <c r="X349" s="151"/>
      <c r="Y349" s="151"/>
      <c r="Z349" s="151"/>
      <c r="AA349" s="151"/>
      <c r="AB349" s="151"/>
      <c r="AC349" s="151"/>
      <c r="AD349" s="151"/>
      <c r="AE349" s="152"/>
    </row>
    <row r="350" spans="1:31" ht="129.75" thickBot="1">
      <c r="A350" s="84">
        <v>85</v>
      </c>
      <c r="B350" s="25" t="s">
        <v>103</v>
      </c>
      <c r="C350" s="84"/>
      <c r="D350" s="85"/>
      <c r="E350" s="85"/>
      <c r="F350" s="85"/>
      <c r="G350" s="85"/>
      <c r="H350" s="86">
        <v>53</v>
      </c>
      <c r="I350" s="86"/>
      <c r="J350" s="86"/>
      <c r="K350" s="86"/>
      <c r="L350" s="86"/>
      <c r="M350" s="86"/>
      <c r="N350" s="86"/>
      <c r="O350" s="87"/>
      <c r="P350" s="84"/>
      <c r="Q350" s="87">
        <v>6</v>
      </c>
      <c r="R350" s="84"/>
      <c r="S350" s="87"/>
      <c r="T350" s="84"/>
      <c r="U350" s="87"/>
      <c r="V350" s="84"/>
      <c r="W350" s="84"/>
      <c r="X350" s="84"/>
      <c r="Y350" s="87"/>
      <c r="Z350" s="84"/>
      <c r="AA350" s="84">
        <v>13</v>
      </c>
      <c r="AB350" s="84"/>
      <c r="AC350" s="87"/>
      <c r="AD350" s="88"/>
      <c r="AE350" s="84"/>
    </row>
    <row r="351" spans="1:31" ht="65.25" thickBot="1">
      <c r="A351" s="84">
        <v>41</v>
      </c>
      <c r="B351" s="22" t="s">
        <v>101</v>
      </c>
      <c r="C351" s="84"/>
      <c r="D351" s="86"/>
      <c r="E351" s="86"/>
      <c r="F351" s="86"/>
      <c r="G351" s="86"/>
      <c r="H351" s="86"/>
      <c r="I351" s="86"/>
      <c r="J351" s="86">
        <v>63</v>
      </c>
      <c r="K351" s="86"/>
      <c r="L351" s="86"/>
      <c r="M351" s="86"/>
      <c r="N351" s="87"/>
      <c r="O351" s="83"/>
      <c r="P351" s="83"/>
      <c r="Q351" s="87"/>
      <c r="R351" s="83"/>
      <c r="S351" s="83"/>
      <c r="T351" s="87"/>
      <c r="U351" s="84"/>
      <c r="V351" s="83"/>
      <c r="W351" s="87"/>
      <c r="X351" s="84"/>
      <c r="Y351" s="83"/>
      <c r="Z351" s="87"/>
      <c r="AA351" s="83"/>
      <c r="AB351" s="84"/>
      <c r="AC351" s="87"/>
      <c r="AD351" s="90"/>
      <c r="AE351" s="83"/>
    </row>
    <row r="352" spans="1:31" ht="65.25" thickBot="1">
      <c r="A352" s="89">
        <v>31</v>
      </c>
      <c r="B352" s="23" t="s">
        <v>9</v>
      </c>
      <c r="C352" s="84"/>
      <c r="D352" s="86"/>
      <c r="E352" s="86"/>
      <c r="F352" s="86"/>
      <c r="G352" s="86"/>
      <c r="H352" s="86"/>
      <c r="I352" s="86"/>
      <c r="J352" s="86"/>
      <c r="K352" s="86"/>
      <c r="L352" s="86"/>
      <c r="M352" s="86">
        <v>5</v>
      </c>
      <c r="N352" s="86"/>
      <c r="O352" s="86"/>
      <c r="P352" s="84">
        <v>12</v>
      </c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4">
        <v>0.58</v>
      </c>
      <c r="AC352" s="86"/>
      <c r="AD352" s="87"/>
      <c r="AE352" s="83"/>
    </row>
    <row r="353" spans="1:31" ht="65.25" thickBot="1">
      <c r="A353" s="83">
        <v>16</v>
      </c>
      <c r="B353" s="22" t="s">
        <v>36</v>
      </c>
      <c r="C353" s="86">
        <v>25</v>
      </c>
      <c r="D353" s="85"/>
      <c r="E353" s="85"/>
      <c r="F353" s="85"/>
      <c r="G353" s="85"/>
      <c r="H353" s="86"/>
      <c r="I353" s="86"/>
      <c r="J353" s="86"/>
      <c r="K353" s="86"/>
      <c r="L353" s="86"/>
      <c r="M353" s="86"/>
      <c r="N353" s="86"/>
      <c r="O353" s="87"/>
      <c r="P353" s="84"/>
      <c r="Q353" s="84">
        <v>5</v>
      </c>
      <c r="R353" s="84"/>
      <c r="S353" s="87"/>
      <c r="T353" s="84"/>
      <c r="U353" s="87"/>
      <c r="V353" s="83"/>
      <c r="W353" s="84"/>
      <c r="X353" s="83"/>
      <c r="Y353" s="87"/>
      <c r="Z353" s="84"/>
      <c r="AA353" s="84"/>
      <c r="AB353" s="87"/>
      <c r="AC353" s="83"/>
      <c r="AD353" s="88"/>
      <c r="AE353" s="84"/>
    </row>
    <row r="354" spans="1:31" ht="65.25" thickBot="1">
      <c r="A354" s="83"/>
      <c r="B354" s="22" t="s">
        <v>6</v>
      </c>
      <c r="C354" s="84">
        <f aca="true" t="shared" si="60" ref="C354:T354">SUM(C350:C353)</f>
        <v>25</v>
      </c>
      <c r="D354" s="84">
        <f t="shared" si="60"/>
        <v>0</v>
      </c>
      <c r="E354" s="84">
        <f t="shared" si="60"/>
        <v>0</v>
      </c>
      <c r="F354" s="84">
        <f t="shared" si="60"/>
        <v>0</v>
      </c>
      <c r="G354" s="84">
        <f t="shared" si="60"/>
        <v>0</v>
      </c>
      <c r="H354" s="84">
        <f t="shared" si="60"/>
        <v>53</v>
      </c>
      <c r="I354" s="84">
        <f t="shared" si="60"/>
        <v>0</v>
      </c>
      <c r="J354" s="84">
        <f t="shared" si="60"/>
        <v>63</v>
      </c>
      <c r="K354" s="84">
        <f t="shared" si="60"/>
        <v>0</v>
      </c>
      <c r="L354" s="84">
        <f t="shared" si="60"/>
        <v>0</v>
      </c>
      <c r="M354" s="84">
        <f t="shared" si="60"/>
        <v>5</v>
      </c>
      <c r="N354" s="84">
        <f t="shared" si="60"/>
        <v>0</v>
      </c>
      <c r="O354" s="84">
        <f t="shared" si="60"/>
        <v>0</v>
      </c>
      <c r="P354" s="84">
        <f t="shared" si="60"/>
        <v>12</v>
      </c>
      <c r="Q354" s="84">
        <f t="shared" si="60"/>
        <v>11</v>
      </c>
      <c r="R354" s="84">
        <f t="shared" si="60"/>
        <v>0</v>
      </c>
      <c r="S354" s="84">
        <f t="shared" si="60"/>
        <v>0</v>
      </c>
      <c r="T354" s="84">
        <f t="shared" si="60"/>
        <v>0</v>
      </c>
      <c r="U354" s="84">
        <f aca="true" t="shared" si="61" ref="U354:AE354">SUM(U350:U353)</f>
        <v>0</v>
      </c>
      <c r="V354" s="84">
        <f t="shared" si="61"/>
        <v>0</v>
      </c>
      <c r="W354" s="84">
        <f t="shared" si="61"/>
        <v>0</v>
      </c>
      <c r="X354" s="84">
        <f t="shared" si="61"/>
        <v>0</v>
      </c>
      <c r="Y354" s="84">
        <f t="shared" si="61"/>
        <v>0</v>
      </c>
      <c r="Z354" s="84">
        <f t="shared" si="61"/>
        <v>0</v>
      </c>
      <c r="AA354" s="84">
        <f t="shared" si="61"/>
        <v>13</v>
      </c>
      <c r="AB354" s="84">
        <f t="shared" si="61"/>
        <v>0.58</v>
      </c>
      <c r="AC354" s="84">
        <f t="shared" si="61"/>
        <v>0</v>
      </c>
      <c r="AD354" s="84">
        <f t="shared" si="61"/>
        <v>0</v>
      </c>
      <c r="AE354" s="84">
        <f t="shared" si="61"/>
        <v>0</v>
      </c>
    </row>
    <row r="355" spans="1:31" ht="65.25" thickBot="1">
      <c r="A355" s="155" t="s">
        <v>53</v>
      </c>
      <c r="B355" s="156"/>
      <c r="C355" s="156"/>
      <c r="D355" s="156"/>
      <c r="E355" s="156"/>
      <c r="F355" s="156"/>
      <c r="G355" s="156"/>
      <c r="H355" s="156"/>
      <c r="I355" s="156"/>
      <c r="J355" s="156"/>
      <c r="K355" s="156"/>
      <c r="L355" s="156"/>
      <c r="M355" s="156"/>
      <c r="N355" s="156"/>
      <c r="O355" s="156"/>
      <c r="P355" s="156"/>
      <c r="Q355" s="156"/>
      <c r="R355" s="156"/>
      <c r="S355" s="156"/>
      <c r="T355" s="156"/>
      <c r="U355" s="156"/>
      <c r="V355" s="156"/>
      <c r="W355" s="156"/>
      <c r="X355" s="156"/>
      <c r="Y355" s="156"/>
      <c r="Z355" s="156"/>
      <c r="AA355" s="156"/>
      <c r="AB355" s="156"/>
      <c r="AC355" s="156"/>
      <c r="AD355" s="156"/>
      <c r="AE355" s="157"/>
    </row>
    <row r="356" spans="1:31" ht="65.25" thickBot="1">
      <c r="A356" s="83" t="s">
        <v>32</v>
      </c>
      <c r="B356" s="25" t="s">
        <v>182</v>
      </c>
      <c r="C356" s="84"/>
      <c r="D356" s="86"/>
      <c r="E356" s="86"/>
      <c r="F356" s="86"/>
      <c r="G356" s="86"/>
      <c r="H356" s="86"/>
      <c r="I356" s="86"/>
      <c r="J356" s="86"/>
      <c r="K356" s="86">
        <v>150</v>
      </c>
      <c r="L356" s="86"/>
      <c r="M356" s="86"/>
      <c r="N356" s="86"/>
      <c r="O356" s="87"/>
      <c r="P356" s="84"/>
      <c r="Q356" s="87"/>
      <c r="R356" s="84"/>
      <c r="S356" s="87"/>
      <c r="T356" s="84"/>
      <c r="U356" s="87"/>
      <c r="V356" s="84"/>
      <c r="W356" s="84"/>
      <c r="X356" s="87"/>
      <c r="Y356" s="84"/>
      <c r="Z356" s="84"/>
      <c r="AA356" s="87"/>
      <c r="AB356" s="84"/>
      <c r="AC356" s="87"/>
      <c r="AD356" s="88"/>
      <c r="AE356" s="83"/>
    </row>
    <row r="357" spans="1:31" ht="65.25" thickBot="1">
      <c r="A357" s="83"/>
      <c r="B357" s="22" t="s">
        <v>29</v>
      </c>
      <c r="C357" s="86">
        <f>SUM(C356)</f>
        <v>0</v>
      </c>
      <c r="D357" s="86">
        <f>SUM(D356)</f>
        <v>0</v>
      </c>
      <c r="E357" s="86">
        <f aca="true" t="shared" si="62" ref="E357:AD357">SUM(E356)</f>
        <v>0</v>
      </c>
      <c r="F357" s="86">
        <f t="shared" si="62"/>
        <v>0</v>
      </c>
      <c r="G357" s="86">
        <f t="shared" si="62"/>
        <v>0</v>
      </c>
      <c r="H357" s="86">
        <f t="shared" si="62"/>
        <v>0</v>
      </c>
      <c r="I357" s="86">
        <f t="shared" si="62"/>
        <v>0</v>
      </c>
      <c r="J357" s="86">
        <f t="shared" si="62"/>
        <v>0</v>
      </c>
      <c r="K357" s="86">
        <f t="shared" si="62"/>
        <v>150</v>
      </c>
      <c r="L357" s="86">
        <f t="shared" si="62"/>
        <v>0</v>
      </c>
      <c r="M357" s="86">
        <f t="shared" si="62"/>
        <v>0</v>
      </c>
      <c r="N357" s="86">
        <f t="shared" si="62"/>
        <v>0</v>
      </c>
      <c r="O357" s="86">
        <f t="shared" si="62"/>
        <v>0</v>
      </c>
      <c r="P357" s="86">
        <f t="shared" si="62"/>
        <v>0</v>
      </c>
      <c r="Q357" s="86">
        <f t="shared" si="62"/>
        <v>0</v>
      </c>
      <c r="R357" s="86">
        <f t="shared" si="62"/>
        <v>0</v>
      </c>
      <c r="S357" s="86">
        <f t="shared" si="62"/>
        <v>0</v>
      </c>
      <c r="T357" s="86">
        <f t="shared" si="62"/>
        <v>0</v>
      </c>
      <c r="U357" s="86">
        <f t="shared" si="62"/>
        <v>0</v>
      </c>
      <c r="V357" s="86">
        <f t="shared" si="62"/>
        <v>0</v>
      </c>
      <c r="W357" s="86">
        <f t="shared" si="62"/>
        <v>0</v>
      </c>
      <c r="X357" s="86">
        <f t="shared" si="62"/>
        <v>0</v>
      </c>
      <c r="Y357" s="86">
        <f t="shared" si="62"/>
        <v>0</v>
      </c>
      <c r="Z357" s="86">
        <f t="shared" si="62"/>
        <v>0</v>
      </c>
      <c r="AA357" s="86">
        <f t="shared" si="62"/>
        <v>0</v>
      </c>
      <c r="AB357" s="86">
        <f t="shared" si="62"/>
        <v>0</v>
      </c>
      <c r="AC357" s="86">
        <f t="shared" si="62"/>
        <v>0</v>
      </c>
      <c r="AD357" s="87">
        <f t="shared" si="62"/>
        <v>0</v>
      </c>
      <c r="AE357" s="83">
        <f>SUM(AE356)</f>
        <v>0</v>
      </c>
    </row>
    <row r="358" spans="1:31" ht="65.25" thickBot="1">
      <c r="A358" s="155" t="s">
        <v>31</v>
      </c>
      <c r="B358" s="156"/>
      <c r="C358" s="156"/>
      <c r="D358" s="156"/>
      <c r="E358" s="156"/>
      <c r="F358" s="156"/>
      <c r="G358" s="156"/>
      <c r="H358" s="156"/>
      <c r="I358" s="156"/>
      <c r="J358" s="156"/>
      <c r="K358" s="156"/>
      <c r="L358" s="156"/>
      <c r="M358" s="156"/>
      <c r="N358" s="156"/>
      <c r="O358" s="156"/>
      <c r="P358" s="156"/>
      <c r="Q358" s="156"/>
      <c r="R358" s="156"/>
      <c r="S358" s="156"/>
      <c r="T358" s="156"/>
      <c r="U358" s="156"/>
      <c r="V358" s="156"/>
      <c r="W358" s="156"/>
      <c r="X358" s="156"/>
      <c r="Y358" s="156"/>
      <c r="Z358" s="156"/>
      <c r="AA358" s="156"/>
      <c r="AB358" s="156"/>
      <c r="AC358" s="156"/>
      <c r="AD358" s="156"/>
      <c r="AE358" s="157"/>
    </row>
    <row r="359" spans="1:31" ht="129.75" thickBot="1">
      <c r="A359" s="84">
        <v>38</v>
      </c>
      <c r="B359" s="22" t="s">
        <v>268</v>
      </c>
      <c r="C359" s="84"/>
      <c r="D359" s="86"/>
      <c r="E359" s="86"/>
      <c r="F359" s="86"/>
      <c r="G359" s="86"/>
      <c r="H359" s="86"/>
      <c r="I359" s="86"/>
      <c r="J359" s="86">
        <v>40</v>
      </c>
      <c r="K359" s="86"/>
      <c r="L359" s="86"/>
      <c r="M359" s="86"/>
      <c r="N359" s="87"/>
      <c r="O359" s="83"/>
      <c r="P359" s="87"/>
      <c r="Q359" s="83"/>
      <c r="R359" s="87"/>
      <c r="S359" s="83"/>
      <c r="T359" s="87"/>
      <c r="U359" s="84"/>
      <c r="V359" s="83"/>
      <c r="W359" s="87"/>
      <c r="X359" s="84"/>
      <c r="Y359" s="83"/>
      <c r="Z359" s="87"/>
      <c r="AA359" s="83"/>
      <c r="AB359" s="84"/>
      <c r="AC359" s="88"/>
      <c r="AD359" s="80"/>
      <c r="AE359" s="83"/>
    </row>
    <row r="360" spans="1:31" ht="194.25" thickBot="1">
      <c r="A360" s="83">
        <v>5</v>
      </c>
      <c r="B360" s="22" t="s">
        <v>175</v>
      </c>
      <c r="C360" s="84"/>
      <c r="D360" s="86"/>
      <c r="E360" s="86"/>
      <c r="F360" s="86"/>
      <c r="G360" s="86"/>
      <c r="H360" s="86"/>
      <c r="I360" s="86">
        <v>16</v>
      </c>
      <c r="J360" s="86">
        <v>77</v>
      </c>
      <c r="K360" s="86"/>
      <c r="L360" s="86"/>
      <c r="M360" s="86"/>
      <c r="N360" s="86"/>
      <c r="O360" s="87"/>
      <c r="P360" s="83">
        <v>2</v>
      </c>
      <c r="Q360" s="87"/>
      <c r="R360" s="83">
        <v>3</v>
      </c>
      <c r="S360" s="87"/>
      <c r="T360" s="83"/>
      <c r="U360" s="87"/>
      <c r="V360" s="83"/>
      <c r="W360" s="83">
        <v>13</v>
      </c>
      <c r="X360" s="87"/>
      <c r="Y360" s="83"/>
      <c r="Z360" s="84">
        <v>8</v>
      </c>
      <c r="AA360" s="87"/>
      <c r="AB360" s="83"/>
      <c r="AC360" s="83"/>
      <c r="AD360" s="87"/>
      <c r="AE360" s="83"/>
    </row>
    <row r="361" spans="1:31" ht="65.25" thickBot="1">
      <c r="A361" s="83">
        <v>61</v>
      </c>
      <c r="B361" s="22" t="s">
        <v>267</v>
      </c>
      <c r="C361" s="84"/>
      <c r="D361" s="86"/>
      <c r="E361" s="86"/>
      <c r="F361" s="86"/>
      <c r="G361" s="86">
        <v>48</v>
      </c>
      <c r="H361" s="86"/>
      <c r="I361" s="86"/>
      <c r="J361" s="86">
        <v>87</v>
      </c>
      <c r="K361" s="86"/>
      <c r="L361" s="86"/>
      <c r="M361" s="86"/>
      <c r="N361" s="86"/>
      <c r="O361" s="87"/>
      <c r="P361" s="83"/>
      <c r="Q361" s="87"/>
      <c r="R361" s="83">
        <v>6</v>
      </c>
      <c r="S361" s="87"/>
      <c r="T361" s="83"/>
      <c r="U361" s="87"/>
      <c r="V361" s="83"/>
      <c r="W361" s="83">
        <v>87</v>
      </c>
      <c r="X361" s="87"/>
      <c r="Y361" s="83"/>
      <c r="Z361" s="83"/>
      <c r="AA361" s="87"/>
      <c r="AB361" s="83"/>
      <c r="AC361" s="83"/>
      <c r="AD361" s="87"/>
      <c r="AE361" s="83"/>
    </row>
    <row r="362" spans="1:31" ht="65.25" thickBot="1">
      <c r="A362" s="83">
        <v>9</v>
      </c>
      <c r="B362" s="25" t="s">
        <v>207</v>
      </c>
      <c r="C362" s="84"/>
      <c r="D362" s="86"/>
      <c r="E362" s="86"/>
      <c r="F362" s="86"/>
      <c r="G362" s="86"/>
      <c r="H362" s="86"/>
      <c r="I362" s="86"/>
      <c r="J362" s="86"/>
      <c r="K362" s="86"/>
      <c r="L362" s="86"/>
      <c r="M362" s="86"/>
      <c r="N362" s="86">
        <v>18</v>
      </c>
      <c r="O362" s="87"/>
      <c r="P362" s="83">
        <v>13</v>
      </c>
      <c r="Q362" s="87"/>
      <c r="R362" s="84"/>
      <c r="S362" s="87"/>
      <c r="T362" s="84"/>
      <c r="U362" s="87"/>
      <c r="V362" s="84"/>
      <c r="W362" s="84"/>
      <c r="X362" s="87"/>
      <c r="Y362" s="84"/>
      <c r="Z362" s="84"/>
      <c r="AA362" s="87"/>
      <c r="AB362" s="84"/>
      <c r="AC362" s="87"/>
      <c r="AD362" s="88"/>
      <c r="AE362" s="83"/>
    </row>
    <row r="363" spans="1:31" ht="129.75" thickBot="1">
      <c r="A363" s="83" t="s">
        <v>32</v>
      </c>
      <c r="B363" s="22" t="s">
        <v>56</v>
      </c>
      <c r="C363" s="84">
        <v>25</v>
      </c>
      <c r="D363" s="86"/>
      <c r="E363" s="86"/>
      <c r="F363" s="86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  <c r="S363" s="86"/>
      <c r="T363" s="86"/>
      <c r="U363" s="87"/>
      <c r="V363" s="83"/>
      <c r="W363" s="86"/>
      <c r="X363" s="87"/>
      <c r="Y363" s="83"/>
      <c r="Z363" s="86"/>
      <c r="AA363" s="86"/>
      <c r="AB363" s="86"/>
      <c r="AC363" s="86"/>
      <c r="AD363" s="87"/>
      <c r="AE363" s="83"/>
    </row>
    <row r="364" spans="1:31" ht="129.75" thickBot="1">
      <c r="A364" s="83" t="s">
        <v>32</v>
      </c>
      <c r="B364" s="22" t="s">
        <v>58</v>
      </c>
      <c r="C364" s="84"/>
      <c r="D364" s="86">
        <v>50</v>
      </c>
      <c r="E364" s="85"/>
      <c r="F364" s="85"/>
      <c r="G364" s="85"/>
      <c r="H364" s="86"/>
      <c r="I364" s="86"/>
      <c r="J364" s="86"/>
      <c r="K364" s="86"/>
      <c r="L364" s="86"/>
      <c r="M364" s="86"/>
      <c r="N364" s="86"/>
      <c r="O364" s="87"/>
      <c r="P364" s="84"/>
      <c r="Q364" s="87"/>
      <c r="R364" s="84"/>
      <c r="S364" s="87"/>
      <c r="T364" s="84"/>
      <c r="U364" s="87"/>
      <c r="V364" s="83"/>
      <c r="W364" s="84"/>
      <c r="X364" s="87"/>
      <c r="Y364" s="83"/>
      <c r="Z364" s="84"/>
      <c r="AA364" s="84"/>
      <c r="AB364" s="87"/>
      <c r="AC364" s="83"/>
      <c r="AD364" s="88"/>
      <c r="AE364" s="84"/>
    </row>
    <row r="365" spans="1:31" ht="65.25" thickBot="1">
      <c r="A365" s="84"/>
      <c r="B365" s="25" t="s">
        <v>6</v>
      </c>
      <c r="C365" s="84">
        <f aca="true" t="shared" si="63" ref="C365:AE365">SUM(C359:C364)</f>
        <v>25</v>
      </c>
      <c r="D365" s="84">
        <f t="shared" si="63"/>
        <v>50</v>
      </c>
      <c r="E365" s="84">
        <f t="shared" si="63"/>
        <v>0</v>
      </c>
      <c r="F365" s="84">
        <f t="shared" si="63"/>
        <v>0</v>
      </c>
      <c r="G365" s="84">
        <f t="shared" si="63"/>
        <v>48</v>
      </c>
      <c r="H365" s="84">
        <f t="shared" si="63"/>
        <v>0</v>
      </c>
      <c r="I365" s="84">
        <f t="shared" si="63"/>
        <v>16</v>
      </c>
      <c r="J365" s="84">
        <f t="shared" si="63"/>
        <v>204</v>
      </c>
      <c r="K365" s="84">
        <f t="shared" si="63"/>
        <v>0</v>
      </c>
      <c r="L365" s="84">
        <f t="shared" si="63"/>
        <v>0</v>
      </c>
      <c r="M365" s="84">
        <f t="shared" si="63"/>
        <v>0</v>
      </c>
      <c r="N365" s="84">
        <f t="shared" si="63"/>
        <v>18</v>
      </c>
      <c r="O365" s="84">
        <f t="shared" si="63"/>
        <v>0</v>
      </c>
      <c r="P365" s="84">
        <f t="shared" si="63"/>
        <v>15</v>
      </c>
      <c r="Q365" s="84">
        <f t="shared" si="63"/>
        <v>0</v>
      </c>
      <c r="R365" s="84">
        <f t="shared" si="63"/>
        <v>9</v>
      </c>
      <c r="S365" s="84">
        <f t="shared" si="63"/>
        <v>0</v>
      </c>
      <c r="T365" s="84">
        <f t="shared" si="63"/>
        <v>0</v>
      </c>
      <c r="U365" s="84">
        <f t="shared" si="63"/>
        <v>0</v>
      </c>
      <c r="V365" s="84">
        <f t="shared" si="63"/>
        <v>0</v>
      </c>
      <c r="W365" s="84">
        <f t="shared" si="63"/>
        <v>100</v>
      </c>
      <c r="X365" s="84">
        <f t="shared" si="63"/>
        <v>0</v>
      </c>
      <c r="Y365" s="84">
        <f t="shared" si="63"/>
        <v>0</v>
      </c>
      <c r="Z365" s="84">
        <f t="shared" si="63"/>
        <v>8</v>
      </c>
      <c r="AA365" s="84">
        <f t="shared" si="63"/>
        <v>0</v>
      </c>
      <c r="AB365" s="84">
        <f t="shared" si="63"/>
        <v>0</v>
      </c>
      <c r="AC365" s="84">
        <f t="shared" si="63"/>
        <v>0</v>
      </c>
      <c r="AD365" s="88">
        <f t="shared" si="63"/>
        <v>0</v>
      </c>
      <c r="AE365" s="84">
        <f t="shared" si="63"/>
        <v>0</v>
      </c>
    </row>
    <row r="366" spans="1:31" ht="65.25" customHeight="1" thickBot="1">
      <c r="A366" s="150" t="s">
        <v>145</v>
      </c>
      <c r="B366" s="151"/>
      <c r="C366" s="151"/>
      <c r="D366" s="151"/>
      <c r="E366" s="151"/>
      <c r="F366" s="151"/>
      <c r="G366" s="151"/>
      <c r="H366" s="151"/>
      <c r="I366" s="151"/>
      <c r="J366" s="151"/>
      <c r="K366" s="151"/>
      <c r="L366" s="151"/>
      <c r="M366" s="151"/>
      <c r="N366" s="151"/>
      <c r="O366" s="151"/>
      <c r="P366" s="151"/>
      <c r="Q366" s="151"/>
      <c r="R366" s="151"/>
      <c r="S366" s="151"/>
      <c r="T366" s="151"/>
      <c r="U366" s="151"/>
      <c r="V366" s="151"/>
      <c r="W366" s="151"/>
      <c r="X366" s="151"/>
      <c r="Y366" s="151"/>
      <c r="Z366" s="151"/>
      <c r="AA366" s="151"/>
      <c r="AB366" s="151"/>
      <c r="AC366" s="151"/>
      <c r="AD366" s="151"/>
      <c r="AE366" s="152"/>
    </row>
    <row r="367" spans="1:31" ht="129.75" thickBot="1">
      <c r="A367" s="92">
        <v>21.1</v>
      </c>
      <c r="B367" s="27" t="s">
        <v>172</v>
      </c>
      <c r="C367" s="83"/>
      <c r="D367" s="86"/>
      <c r="E367" s="83"/>
      <c r="F367" s="83"/>
      <c r="G367" s="83"/>
      <c r="H367" s="86"/>
      <c r="I367" s="86"/>
      <c r="J367" s="86"/>
      <c r="K367" s="86"/>
      <c r="L367" s="86"/>
      <c r="M367" s="86"/>
      <c r="N367" s="86"/>
      <c r="O367" s="87"/>
      <c r="P367" s="84"/>
      <c r="Q367" s="87"/>
      <c r="R367" s="84"/>
      <c r="S367" s="87"/>
      <c r="T367" s="84">
        <v>185</v>
      </c>
      <c r="U367" s="87"/>
      <c r="V367" s="84"/>
      <c r="W367" s="84"/>
      <c r="X367" s="87"/>
      <c r="Y367" s="84"/>
      <c r="Z367" s="84"/>
      <c r="AA367" s="87"/>
      <c r="AB367" s="84"/>
      <c r="AC367" s="87"/>
      <c r="AD367" s="88"/>
      <c r="AE367" s="83"/>
    </row>
    <row r="368" spans="1:31" ht="65.25" thickBot="1">
      <c r="A368" s="83">
        <v>48</v>
      </c>
      <c r="B368" s="22" t="s">
        <v>217</v>
      </c>
      <c r="C368" s="86"/>
      <c r="D368" s="86"/>
      <c r="E368" s="86">
        <v>45.4</v>
      </c>
      <c r="F368" s="86"/>
      <c r="G368" s="86"/>
      <c r="H368" s="86"/>
      <c r="I368" s="86"/>
      <c r="J368" s="86"/>
      <c r="K368" s="86"/>
      <c r="L368" s="86"/>
      <c r="M368" s="86"/>
      <c r="N368" s="86"/>
      <c r="O368" s="83"/>
      <c r="P368" s="87">
        <v>12</v>
      </c>
      <c r="Q368" s="84">
        <v>9.2</v>
      </c>
      <c r="R368" s="87">
        <v>1</v>
      </c>
      <c r="S368" s="83">
        <v>5</v>
      </c>
      <c r="T368" s="87">
        <v>22</v>
      </c>
      <c r="U368" s="90"/>
      <c r="V368" s="83"/>
      <c r="W368" s="84"/>
      <c r="X368" s="87"/>
      <c r="Y368" s="83"/>
      <c r="Z368" s="87"/>
      <c r="AA368" s="83"/>
      <c r="AB368" s="87"/>
      <c r="AC368" s="83"/>
      <c r="AD368" s="87"/>
      <c r="AE368" s="84">
        <v>1.5</v>
      </c>
    </row>
    <row r="369" spans="1:31" ht="65.25" thickBot="1">
      <c r="A369" s="84"/>
      <c r="B369" s="22" t="s">
        <v>29</v>
      </c>
      <c r="C369" s="84">
        <f>C367+C368</f>
        <v>0</v>
      </c>
      <c r="D369" s="84">
        <f aca="true" t="shared" si="64" ref="D369:AE369">D367+D368</f>
        <v>0</v>
      </c>
      <c r="E369" s="84">
        <f t="shared" si="64"/>
        <v>45.4</v>
      </c>
      <c r="F369" s="84">
        <f t="shared" si="64"/>
        <v>0</v>
      </c>
      <c r="G369" s="84">
        <f t="shared" si="64"/>
        <v>0</v>
      </c>
      <c r="H369" s="84">
        <f t="shared" si="64"/>
        <v>0</v>
      </c>
      <c r="I369" s="84">
        <f t="shared" si="64"/>
        <v>0</v>
      </c>
      <c r="J369" s="84">
        <f t="shared" si="64"/>
        <v>0</v>
      </c>
      <c r="K369" s="84">
        <f t="shared" si="64"/>
        <v>0</v>
      </c>
      <c r="L369" s="84">
        <f t="shared" si="64"/>
        <v>0</v>
      </c>
      <c r="M369" s="84">
        <f t="shared" si="64"/>
        <v>0</v>
      </c>
      <c r="N369" s="84">
        <f t="shared" si="64"/>
        <v>0</v>
      </c>
      <c r="O369" s="84">
        <f t="shared" si="64"/>
        <v>0</v>
      </c>
      <c r="P369" s="84">
        <f t="shared" si="64"/>
        <v>12</v>
      </c>
      <c r="Q369" s="84">
        <f t="shared" si="64"/>
        <v>9.2</v>
      </c>
      <c r="R369" s="84">
        <f t="shared" si="64"/>
        <v>1</v>
      </c>
      <c r="S369" s="84">
        <f t="shared" si="64"/>
        <v>5</v>
      </c>
      <c r="T369" s="84">
        <f t="shared" si="64"/>
        <v>207</v>
      </c>
      <c r="U369" s="84">
        <f t="shared" si="64"/>
        <v>0</v>
      </c>
      <c r="V369" s="84">
        <f t="shared" si="64"/>
        <v>0</v>
      </c>
      <c r="W369" s="84">
        <f t="shared" si="64"/>
        <v>0</v>
      </c>
      <c r="X369" s="84">
        <f t="shared" si="64"/>
        <v>0</v>
      </c>
      <c r="Y369" s="84">
        <f t="shared" si="64"/>
        <v>0</v>
      </c>
      <c r="Z369" s="84">
        <f t="shared" si="64"/>
        <v>0</v>
      </c>
      <c r="AA369" s="84">
        <f t="shared" si="64"/>
        <v>0</v>
      </c>
      <c r="AB369" s="84">
        <f t="shared" si="64"/>
        <v>0</v>
      </c>
      <c r="AC369" s="84">
        <f t="shared" si="64"/>
        <v>0</v>
      </c>
      <c r="AD369" s="84">
        <f t="shared" si="64"/>
        <v>0</v>
      </c>
      <c r="AE369" s="84">
        <f t="shared" si="64"/>
        <v>1.5</v>
      </c>
    </row>
    <row r="370" spans="1:31" ht="65.25" thickBot="1">
      <c r="A370" s="155" t="s">
        <v>144</v>
      </c>
      <c r="B370" s="156"/>
      <c r="C370" s="156"/>
      <c r="D370" s="156"/>
      <c r="E370" s="156"/>
      <c r="F370" s="156"/>
      <c r="G370" s="156"/>
      <c r="H370" s="156"/>
      <c r="I370" s="156"/>
      <c r="J370" s="156"/>
      <c r="K370" s="156"/>
      <c r="L370" s="156"/>
      <c r="M370" s="156"/>
      <c r="N370" s="156"/>
      <c r="O370" s="156"/>
      <c r="P370" s="156"/>
      <c r="Q370" s="156"/>
      <c r="R370" s="156"/>
      <c r="S370" s="156"/>
      <c r="T370" s="156"/>
      <c r="U370" s="156"/>
      <c r="V370" s="156"/>
      <c r="W370" s="156"/>
      <c r="X370" s="156"/>
      <c r="Y370" s="156"/>
      <c r="Z370" s="156"/>
      <c r="AA370" s="156"/>
      <c r="AB370" s="156"/>
      <c r="AC370" s="156"/>
      <c r="AD370" s="156"/>
      <c r="AE370" s="157"/>
    </row>
    <row r="371" spans="1:31" ht="65.25" thickBot="1">
      <c r="A371" s="83">
        <v>27</v>
      </c>
      <c r="B371" s="22" t="s">
        <v>73</v>
      </c>
      <c r="C371" s="84"/>
      <c r="D371" s="86"/>
      <c r="E371" s="86"/>
      <c r="F371" s="86"/>
      <c r="G371" s="86"/>
      <c r="H371" s="86"/>
      <c r="I371" s="86">
        <v>115</v>
      </c>
      <c r="J371" s="86">
        <v>101</v>
      </c>
      <c r="K371" s="86"/>
      <c r="L371" s="86"/>
      <c r="M371" s="86"/>
      <c r="N371" s="83"/>
      <c r="O371" s="87"/>
      <c r="P371" s="83"/>
      <c r="Q371" s="84">
        <v>3</v>
      </c>
      <c r="R371" s="87">
        <v>3</v>
      </c>
      <c r="S371" s="83"/>
      <c r="T371" s="87"/>
      <c r="U371" s="90"/>
      <c r="V371" s="83"/>
      <c r="W371" s="83"/>
      <c r="X371" s="87"/>
      <c r="Y371" s="83"/>
      <c r="Z371" s="87"/>
      <c r="AA371" s="83"/>
      <c r="AB371" s="83"/>
      <c r="AC371" s="87"/>
      <c r="AD371" s="90"/>
      <c r="AE371" s="83"/>
    </row>
    <row r="372" spans="1:31" ht="65.25" thickBot="1">
      <c r="A372" s="83">
        <v>15</v>
      </c>
      <c r="B372" s="22" t="s">
        <v>224</v>
      </c>
      <c r="C372" s="84"/>
      <c r="D372" s="85"/>
      <c r="E372" s="85"/>
      <c r="F372" s="85"/>
      <c r="G372" s="85"/>
      <c r="H372" s="86"/>
      <c r="I372" s="86"/>
      <c r="J372" s="86"/>
      <c r="K372" s="86"/>
      <c r="L372" s="86"/>
      <c r="M372" s="86"/>
      <c r="N372" s="86"/>
      <c r="O372" s="87"/>
      <c r="P372" s="84">
        <v>11</v>
      </c>
      <c r="Q372" s="87"/>
      <c r="R372" s="84"/>
      <c r="S372" s="87"/>
      <c r="T372" s="84">
        <v>100</v>
      </c>
      <c r="U372" s="87"/>
      <c r="V372" s="83"/>
      <c r="W372" s="84"/>
      <c r="X372" s="83"/>
      <c r="Y372" s="87"/>
      <c r="Z372" s="84"/>
      <c r="AA372" s="84"/>
      <c r="AB372" s="87"/>
      <c r="AC372" s="83"/>
      <c r="AD372" s="88">
        <v>1.3</v>
      </c>
      <c r="AE372" s="84"/>
    </row>
    <row r="373" spans="1:31" ht="129.75" thickBot="1">
      <c r="A373" s="83">
        <v>69</v>
      </c>
      <c r="B373" s="22" t="s">
        <v>106</v>
      </c>
      <c r="C373" s="84"/>
      <c r="D373" s="86"/>
      <c r="E373" s="86"/>
      <c r="F373" s="86"/>
      <c r="G373" s="86"/>
      <c r="H373" s="86"/>
      <c r="I373" s="86"/>
      <c r="J373" s="86"/>
      <c r="K373" s="86"/>
      <c r="L373" s="86"/>
      <c r="M373" s="86">
        <v>85</v>
      </c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7"/>
      <c r="AE373" s="84"/>
    </row>
    <row r="374" spans="1:31" ht="129.75" thickBot="1">
      <c r="A374" s="83" t="s">
        <v>32</v>
      </c>
      <c r="B374" s="22" t="s">
        <v>56</v>
      </c>
      <c r="C374" s="84">
        <v>25</v>
      </c>
      <c r="D374" s="86"/>
      <c r="E374" s="86"/>
      <c r="F374" s="86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  <c r="S374" s="86"/>
      <c r="T374" s="86"/>
      <c r="U374" s="87"/>
      <c r="V374" s="83"/>
      <c r="W374" s="86"/>
      <c r="X374" s="87"/>
      <c r="Y374" s="83"/>
      <c r="Z374" s="86"/>
      <c r="AA374" s="86"/>
      <c r="AB374" s="86"/>
      <c r="AC374" s="86"/>
      <c r="AD374" s="87"/>
      <c r="AE374" s="83"/>
    </row>
    <row r="375" spans="1:31" ht="65.25" thickBot="1">
      <c r="A375" s="80"/>
      <c r="B375" s="22" t="s">
        <v>6</v>
      </c>
      <c r="C375" s="84">
        <f aca="true" t="shared" si="65" ref="C375:AE375">SUM(C371:C374)</f>
        <v>25</v>
      </c>
      <c r="D375" s="84">
        <f t="shared" si="65"/>
        <v>0</v>
      </c>
      <c r="E375" s="84">
        <f t="shared" si="65"/>
        <v>0</v>
      </c>
      <c r="F375" s="84">
        <f t="shared" si="65"/>
        <v>0</v>
      </c>
      <c r="G375" s="84">
        <f t="shared" si="65"/>
        <v>0</v>
      </c>
      <c r="H375" s="84">
        <f t="shared" si="65"/>
        <v>0</v>
      </c>
      <c r="I375" s="84">
        <f t="shared" si="65"/>
        <v>115</v>
      </c>
      <c r="J375" s="84">
        <f t="shared" si="65"/>
        <v>101</v>
      </c>
      <c r="K375" s="84">
        <f t="shared" si="65"/>
        <v>0</v>
      </c>
      <c r="L375" s="84">
        <f t="shared" si="65"/>
        <v>0</v>
      </c>
      <c r="M375" s="84">
        <f t="shared" si="65"/>
        <v>85</v>
      </c>
      <c r="N375" s="84">
        <f t="shared" si="65"/>
        <v>0</v>
      </c>
      <c r="O375" s="84">
        <f t="shared" si="65"/>
        <v>0</v>
      </c>
      <c r="P375" s="84">
        <f t="shared" si="65"/>
        <v>11</v>
      </c>
      <c r="Q375" s="84">
        <f t="shared" si="65"/>
        <v>3</v>
      </c>
      <c r="R375" s="84">
        <f t="shared" si="65"/>
        <v>3</v>
      </c>
      <c r="S375" s="84">
        <f t="shared" si="65"/>
        <v>0</v>
      </c>
      <c r="T375" s="84">
        <f t="shared" si="65"/>
        <v>100</v>
      </c>
      <c r="U375" s="84">
        <f t="shared" si="65"/>
        <v>0</v>
      </c>
      <c r="V375" s="84">
        <f t="shared" si="65"/>
        <v>0</v>
      </c>
      <c r="W375" s="84">
        <f t="shared" si="65"/>
        <v>0</v>
      </c>
      <c r="X375" s="84">
        <f t="shared" si="65"/>
        <v>0</v>
      </c>
      <c r="Y375" s="84">
        <f t="shared" si="65"/>
        <v>0</v>
      </c>
      <c r="Z375" s="84">
        <f t="shared" si="65"/>
        <v>0</v>
      </c>
      <c r="AA375" s="84">
        <f t="shared" si="65"/>
        <v>0</v>
      </c>
      <c r="AB375" s="84">
        <f t="shared" si="65"/>
        <v>0</v>
      </c>
      <c r="AC375" s="84">
        <f t="shared" si="65"/>
        <v>0</v>
      </c>
      <c r="AD375" s="84">
        <f t="shared" si="65"/>
        <v>1.3</v>
      </c>
      <c r="AE375" s="84">
        <f t="shared" si="65"/>
        <v>0</v>
      </c>
    </row>
    <row r="376" spans="1:31" ht="194.25" thickBot="1">
      <c r="A376" s="145"/>
      <c r="B376" s="22" t="s">
        <v>150</v>
      </c>
      <c r="C376" s="84"/>
      <c r="D376" s="84"/>
      <c r="E376" s="84"/>
      <c r="F376" s="84"/>
      <c r="G376" s="84"/>
      <c r="H376" s="84"/>
      <c r="I376" s="84"/>
      <c r="J376" s="84"/>
      <c r="K376" s="84"/>
      <c r="L376" s="84"/>
      <c r="M376" s="84"/>
      <c r="N376" s="84"/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  <c r="AB376" s="84"/>
      <c r="AC376" s="84"/>
      <c r="AD376" s="88"/>
      <c r="AE376" s="84"/>
    </row>
    <row r="377" spans="1:31" ht="65.25" thickBot="1">
      <c r="A377" s="83"/>
      <c r="B377" s="93" t="s">
        <v>10</v>
      </c>
      <c r="C377" s="84">
        <f aca="true" t="shared" si="66" ref="C377:AE377">C354+C357+C365+C369+C375</f>
        <v>75</v>
      </c>
      <c r="D377" s="84">
        <f t="shared" si="66"/>
        <v>50</v>
      </c>
      <c r="E377" s="84">
        <f t="shared" si="66"/>
        <v>45.4</v>
      </c>
      <c r="F377" s="84">
        <f t="shared" si="66"/>
        <v>0</v>
      </c>
      <c r="G377" s="84">
        <f t="shared" si="66"/>
        <v>48</v>
      </c>
      <c r="H377" s="84">
        <f t="shared" si="66"/>
        <v>53</v>
      </c>
      <c r="I377" s="84">
        <f t="shared" si="66"/>
        <v>131</v>
      </c>
      <c r="J377" s="84">
        <f t="shared" si="66"/>
        <v>368</v>
      </c>
      <c r="K377" s="84">
        <f t="shared" si="66"/>
        <v>150</v>
      </c>
      <c r="L377" s="84">
        <f t="shared" si="66"/>
        <v>0</v>
      </c>
      <c r="M377" s="84">
        <f t="shared" si="66"/>
        <v>90</v>
      </c>
      <c r="N377" s="84">
        <f t="shared" si="66"/>
        <v>18</v>
      </c>
      <c r="O377" s="84">
        <f t="shared" si="66"/>
        <v>0</v>
      </c>
      <c r="P377" s="84">
        <f t="shared" si="66"/>
        <v>50</v>
      </c>
      <c r="Q377" s="84">
        <f t="shared" si="66"/>
        <v>23.2</v>
      </c>
      <c r="R377" s="84">
        <f t="shared" si="66"/>
        <v>13</v>
      </c>
      <c r="S377" s="84">
        <f t="shared" si="66"/>
        <v>5</v>
      </c>
      <c r="T377" s="84">
        <f t="shared" si="66"/>
        <v>307</v>
      </c>
      <c r="U377" s="84">
        <f t="shared" si="66"/>
        <v>0</v>
      </c>
      <c r="V377" s="84">
        <f t="shared" si="66"/>
        <v>0</v>
      </c>
      <c r="W377" s="84">
        <f t="shared" si="66"/>
        <v>100</v>
      </c>
      <c r="X377" s="84">
        <f t="shared" si="66"/>
        <v>0</v>
      </c>
      <c r="Y377" s="84">
        <f t="shared" si="66"/>
        <v>0</v>
      </c>
      <c r="Z377" s="84">
        <f t="shared" si="66"/>
        <v>8</v>
      </c>
      <c r="AA377" s="84">
        <f t="shared" si="66"/>
        <v>13</v>
      </c>
      <c r="AB377" s="84">
        <f t="shared" si="66"/>
        <v>0.58</v>
      </c>
      <c r="AC377" s="84">
        <f t="shared" si="66"/>
        <v>0</v>
      </c>
      <c r="AD377" s="84">
        <f t="shared" si="66"/>
        <v>1.3</v>
      </c>
      <c r="AE377" s="84">
        <f t="shared" si="66"/>
        <v>1.5</v>
      </c>
    </row>
    <row r="378" spans="1:31" ht="74.25" customHeight="1" thickBot="1">
      <c r="A378" s="150" t="s">
        <v>40</v>
      </c>
      <c r="B378" s="151"/>
      <c r="C378" s="151"/>
      <c r="D378" s="151"/>
      <c r="E378" s="151"/>
      <c r="F378" s="151"/>
      <c r="G378" s="151"/>
      <c r="H378" s="151"/>
      <c r="I378" s="151"/>
      <c r="J378" s="151"/>
      <c r="K378" s="151"/>
      <c r="L378" s="151"/>
      <c r="M378" s="151"/>
      <c r="N378" s="151"/>
      <c r="O378" s="151"/>
      <c r="P378" s="151"/>
      <c r="Q378" s="151"/>
      <c r="R378" s="151"/>
      <c r="S378" s="151"/>
      <c r="T378" s="151"/>
      <c r="U378" s="151"/>
      <c r="V378" s="151"/>
      <c r="W378" s="151"/>
      <c r="X378" s="151"/>
      <c r="Y378" s="151"/>
      <c r="Z378" s="151"/>
      <c r="AA378" s="151"/>
      <c r="AB378" s="151"/>
      <c r="AC378" s="151"/>
      <c r="AD378" s="151"/>
      <c r="AE378" s="152"/>
    </row>
    <row r="379" spans="1:31" ht="65.25" thickBot="1">
      <c r="A379" s="150" t="s">
        <v>87</v>
      </c>
      <c r="B379" s="151"/>
      <c r="C379" s="151"/>
      <c r="D379" s="151"/>
      <c r="E379" s="151"/>
      <c r="F379" s="151"/>
      <c r="G379" s="151"/>
      <c r="H379" s="151"/>
      <c r="I379" s="151"/>
      <c r="J379" s="151"/>
      <c r="K379" s="151"/>
      <c r="L379" s="151"/>
      <c r="M379" s="151"/>
      <c r="N379" s="151"/>
      <c r="O379" s="151"/>
      <c r="P379" s="151"/>
      <c r="Q379" s="151"/>
      <c r="R379" s="151"/>
      <c r="S379" s="151"/>
      <c r="T379" s="151"/>
      <c r="U379" s="151"/>
      <c r="V379" s="151"/>
      <c r="W379" s="151"/>
      <c r="X379" s="151"/>
      <c r="Y379" s="151"/>
      <c r="Z379" s="151"/>
      <c r="AA379" s="151"/>
      <c r="AB379" s="151"/>
      <c r="AC379" s="151"/>
      <c r="AD379" s="151"/>
      <c r="AE379" s="152"/>
    </row>
    <row r="380" spans="1:31" ht="46.5" customHeight="1">
      <c r="A380" s="166" t="s">
        <v>30</v>
      </c>
      <c r="B380" s="168" t="s">
        <v>23</v>
      </c>
      <c r="C380" s="153" t="s">
        <v>116</v>
      </c>
      <c r="D380" s="153" t="s">
        <v>117</v>
      </c>
      <c r="E380" s="153" t="s">
        <v>130</v>
      </c>
      <c r="F380" s="153" t="s">
        <v>119</v>
      </c>
      <c r="G380" s="153" t="s">
        <v>131</v>
      </c>
      <c r="H380" s="153" t="s">
        <v>132</v>
      </c>
      <c r="I380" s="153" t="s">
        <v>110</v>
      </c>
      <c r="J380" s="153" t="s">
        <v>257</v>
      </c>
      <c r="K380" s="140"/>
      <c r="L380" s="140"/>
      <c r="M380" s="153" t="s">
        <v>142</v>
      </c>
      <c r="N380" s="153" t="s">
        <v>79</v>
      </c>
      <c r="O380" s="153" t="s">
        <v>139</v>
      </c>
      <c r="P380" s="153" t="s">
        <v>80</v>
      </c>
      <c r="Q380" s="153" t="s">
        <v>124</v>
      </c>
      <c r="R380" s="153" t="s">
        <v>81</v>
      </c>
      <c r="S380" s="153" t="s">
        <v>134</v>
      </c>
      <c r="T380" s="153" t="s">
        <v>135</v>
      </c>
      <c r="U380" s="153" t="s">
        <v>136</v>
      </c>
      <c r="V380" s="140"/>
      <c r="W380" s="153" t="s">
        <v>113</v>
      </c>
      <c r="X380" s="153" t="s">
        <v>129</v>
      </c>
      <c r="Y380" s="153" t="s">
        <v>84</v>
      </c>
      <c r="Z380" s="153" t="s">
        <v>82</v>
      </c>
      <c r="AA380" s="153" t="s">
        <v>83</v>
      </c>
      <c r="AB380" s="153" t="s">
        <v>85</v>
      </c>
      <c r="AC380" s="140"/>
      <c r="AD380" s="158" t="s">
        <v>78</v>
      </c>
      <c r="AE380" s="153" t="s">
        <v>137</v>
      </c>
    </row>
    <row r="381" spans="1:31" ht="409.5" thickBot="1">
      <c r="A381" s="167"/>
      <c r="B381" s="169"/>
      <c r="C381" s="154"/>
      <c r="D381" s="154"/>
      <c r="E381" s="154"/>
      <c r="F381" s="154"/>
      <c r="G381" s="154"/>
      <c r="H381" s="154"/>
      <c r="I381" s="154"/>
      <c r="J381" s="154"/>
      <c r="K381" s="141" t="s">
        <v>133</v>
      </c>
      <c r="L381" s="141" t="s">
        <v>143</v>
      </c>
      <c r="M381" s="154"/>
      <c r="N381" s="154"/>
      <c r="O381" s="154"/>
      <c r="P381" s="154"/>
      <c r="Q381" s="154"/>
      <c r="R381" s="154"/>
      <c r="S381" s="154"/>
      <c r="T381" s="154"/>
      <c r="U381" s="154"/>
      <c r="V381" s="141" t="s">
        <v>140</v>
      </c>
      <c r="W381" s="154"/>
      <c r="X381" s="154"/>
      <c r="Y381" s="154"/>
      <c r="Z381" s="154"/>
      <c r="AA381" s="154"/>
      <c r="AB381" s="154"/>
      <c r="AC381" s="141" t="s">
        <v>77</v>
      </c>
      <c r="AD381" s="159"/>
      <c r="AE381" s="154"/>
    </row>
    <row r="382" spans="1:31" ht="65.25" thickBot="1">
      <c r="A382" s="145">
        <v>1</v>
      </c>
      <c r="B382" s="79">
        <v>2</v>
      </c>
      <c r="C382" s="80" t="s">
        <v>54</v>
      </c>
      <c r="D382" s="81">
        <v>4</v>
      </c>
      <c r="E382" s="80">
        <v>5</v>
      </c>
      <c r="F382" s="80">
        <v>6</v>
      </c>
      <c r="G382" s="80">
        <v>7</v>
      </c>
      <c r="H382" s="80">
        <v>8</v>
      </c>
      <c r="I382" s="80" t="s">
        <v>55</v>
      </c>
      <c r="J382" s="81">
        <v>10</v>
      </c>
      <c r="K382" s="80">
        <v>11</v>
      </c>
      <c r="L382" s="108">
        <v>12</v>
      </c>
      <c r="M382" s="80">
        <v>13</v>
      </c>
      <c r="N382" s="80">
        <v>14</v>
      </c>
      <c r="O382" s="80">
        <v>15</v>
      </c>
      <c r="P382" s="80">
        <v>16</v>
      </c>
      <c r="Q382" s="143">
        <v>17</v>
      </c>
      <c r="R382" s="80">
        <v>18</v>
      </c>
      <c r="S382" s="143">
        <v>19</v>
      </c>
      <c r="T382" s="80">
        <v>20</v>
      </c>
      <c r="U382" s="143">
        <v>21</v>
      </c>
      <c r="V382" s="143">
        <v>22</v>
      </c>
      <c r="W382" s="80">
        <v>23</v>
      </c>
      <c r="X382" s="80">
        <v>24</v>
      </c>
      <c r="Y382" s="143">
        <v>25</v>
      </c>
      <c r="Z382" s="80">
        <v>26</v>
      </c>
      <c r="AA382" s="80">
        <v>27</v>
      </c>
      <c r="AB382" s="80">
        <v>28</v>
      </c>
      <c r="AC382" s="143">
        <v>29</v>
      </c>
      <c r="AD382" s="142">
        <v>30</v>
      </c>
      <c r="AE382" s="80">
        <v>32</v>
      </c>
    </row>
    <row r="383" spans="1:31" ht="65.25" thickBot="1">
      <c r="A383" s="150" t="s">
        <v>5</v>
      </c>
      <c r="B383" s="151"/>
      <c r="C383" s="151"/>
      <c r="D383" s="151"/>
      <c r="E383" s="151"/>
      <c r="F383" s="151"/>
      <c r="G383" s="151"/>
      <c r="H383" s="151"/>
      <c r="I383" s="151"/>
      <c r="J383" s="151"/>
      <c r="K383" s="151"/>
      <c r="L383" s="151"/>
      <c r="M383" s="151"/>
      <c r="N383" s="151"/>
      <c r="O383" s="151"/>
      <c r="P383" s="151"/>
      <c r="Q383" s="151"/>
      <c r="R383" s="151"/>
      <c r="S383" s="151"/>
      <c r="T383" s="151"/>
      <c r="U383" s="151"/>
      <c r="V383" s="151"/>
      <c r="W383" s="151"/>
      <c r="X383" s="151"/>
      <c r="Y383" s="151"/>
      <c r="Z383" s="151"/>
      <c r="AA383" s="151"/>
      <c r="AB383" s="151"/>
      <c r="AC383" s="151"/>
      <c r="AD383" s="151"/>
      <c r="AE383" s="152"/>
    </row>
    <row r="384" spans="1:31" ht="129.75" thickBot="1">
      <c r="A384" s="84">
        <v>23</v>
      </c>
      <c r="B384" s="25" t="s">
        <v>162</v>
      </c>
      <c r="C384" s="84"/>
      <c r="D384" s="85"/>
      <c r="E384" s="85"/>
      <c r="F384" s="85"/>
      <c r="G384" s="85">
        <v>23</v>
      </c>
      <c r="H384" s="86"/>
      <c r="I384" s="86"/>
      <c r="J384" s="86"/>
      <c r="K384" s="86"/>
      <c r="L384" s="86"/>
      <c r="M384" s="86"/>
      <c r="N384" s="86"/>
      <c r="O384" s="87"/>
      <c r="P384" s="84">
        <v>5</v>
      </c>
      <c r="Q384" s="87">
        <v>2</v>
      </c>
      <c r="R384" s="84"/>
      <c r="S384" s="87"/>
      <c r="T384" s="84">
        <v>136</v>
      </c>
      <c r="U384" s="87"/>
      <c r="V384" s="84"/>
      <c r="W384" s="84"/>
      <c r="X384" s="84"/>
      <c r="Y384" s="87"/>
      <c r="Z384" s="84"/>
      <c r="AA384" s="84"/>
      <c r="AB384" s="84"/>
      <c r="AC384" s="87"/>
      <c r="AD384" s="88"/>
      <c r="AE384" s="84"/>
    </row>
    <row r="385" spans="1:31" ht="129.75" thickBot="1">
      <c r="A385" s="83">
        <v>2</v>
      </c>
      <c r="B385" s="22" t="s">
        <v>69</v>
      </c>
      <c r="C385" s="84"/>
      <c r="D385" s="86"/>
      <c r="E385" s="86"/>
      <c r="F385" s="86"/>
      <c r="G385" s="86"/>
      <c r="H385" s="86"/>
      <c r="I385" s="86"/>
      <c r="J385" s="86"/>
      <c r="K385" s="86"/>
      <c r="L385" s="86"/>
      <c r="M385" s="86"/>
      <c r="N385" s="86"/>
      <c r="O385" s="83"/>
      <c r="P385" s="84">
        <v>11</v>
      </c>
      <c r="Q385" s="83"/>
      <c r="R385" s="87"/>
      <c r="S385" s="83"/>
      <c r="T385" s="84">
        <v>100</v>
      </c>
      <c r="U385" s="83"/>
      <c r="V385" s="87"/>
      <c r="W385" s="83"/>
      <c r="X385" s="87"/>
      <c r="Y385" s="83"/>
      <c r="Z385" s="87"/>
      <c r="AA385" s="83"/>
      <c r="AB385" s="87"/>
      <c r="AC385" s="83">
        <v>2.4</v>
      </c>
      <c r="AD385" s="90"/>
      <c r="AE385" s="84"/>
    </row>
    <row r="386" spans="1:31" ht="129.75" thickBot="1">
      <c r="A386" s="83">
        <v>3</v>
      </c>
      <c r="B386" s="22" t="s">
        <v>38</v>
      </c>
      <c r="C386" s="86">
        <v>25</v>
      </c>
      <c r="D386" s="86"/>
      <c r="E386" s="86"/>
      <c r="F386" s="86"/>
      <c r="G386" s="86"/>
      <c r="H386" s="86"/>
      <c r="I386" s="86"/>
      <c r="J386" s="86"/>
      <c r="K386" s="86"/>
      <c r="L386" s="86"/>
      <c r="M386" s="86"/>
      <c r="N386" s="86"/>
      <c r="O386" s="83"/>
      <c r="P386" s="87"/>
      <c r="Q386" s="84">
        <v>5</v>
      </c>
      <c r="R386" s="87"/>
      <c r="S386" s="83"/>
      <c r="T386" s="87"/>
      <c r="U386" s="90"/>
      <c r="V386" s="83"/>
      <c r="W386" s="84"/>
      <c r="X386" s="87"/>
      <c r="Y386" s="83"/>
      <c r="Z386" s="87"/>
      <c r="AA386" s="83">
        <v>13</v>
      </c>
      <c r="AB386" s="87"/>
      <c r="AC386" s="83"/>
      <c r="AD386" s="87"/>
      <c r="AE386" s="83"/>
    </row>
    <row r="387" spans="1:31" ht="65.25" thickBot="1">
      <c r="A387" s="83"/>
      <c r="B387" s="22" t="s">
        <v>6</v>
      </c>
      <c r="C387" s="84">
        <f>SUM(C384:C386)</f>
        <v>25</v>
      </c>
      <c r="D387" s="84">
        <f aca="true" t="shared" si="67" ref="D387:AE387">SUM(D384:D386)</f>
        <v>0</v>
      </c>
      <c r="E387" s="84">
        <f t="shared" si="67"/>
        <v>0</v>
      </c>
      <c r="F387" s="84">
        <f t="shared" si="67"/>
        <v>0</v>
      </c>
      <c r="G387" s="84">
        <f t="shared" si="67"/>
        <v>23</v>
      </c>
      <c r="H387" s="84">
        <f t="shared" si="67"/>
        <v>0</v>
      </c>
      <c r="I387" s="84">
        <f t="shared" si="67"/>
        <v>0</v>
      </c>
      <c r="J387" s="84">
        <f t="shared" si="67"/>
        <v>0</v>
      </c>
      <c r="K387" s="84">
        <f t="shared" si="67"/>
        <v>0</v>
      </c>
      <c r="L387" s="84">
        <f t="shared" si="67"/>
        <v>0</v>
      </c>
      <c r="M387" s="84">
        <f t="shared" si="67"/>
        <v>0</v>
      </c>
      <c r="N387" s="84">
        <f t="shared" si="67"/>
        <v>0</v>
      </c>
      <c r="O387" s="84">
        <f t="shared" si="67"/>
        <v>0</v>
      </c>
      <c r="P387" s="84">
        <f t="shared" si="67"/>
        <v>16</v>
      </c>
      <c r="Q387" s="84">
        <f t="shared" si="67"/>
        <v>7</v>
      </c>
      <c r="R387" s="84">
        <f t="shared" si="67"/>
        <v>0</v>
      </c>
      <c r="S387" s="84">
        <f t="shared" si="67"/>
        <v>0</v>
      </c>
      <c r="T387" s="84">
        <f t="shared" si="67"/>
        <v>236</v>
      </c>
      <c r="U387" s="84">
        <f t="shared" si="67"/>
        <v>0</v>
      </c>
      <c r="V387" s="84">
        <f t="shared" si="67"/>
        <v>0</v>
      </c>
      <c r="W387" s="84">
        <f t="shared" si="67"/>
        <v>0</v>
      </c>
      <c r="X387" s="84">
        <f t="shared" si="67"/>
        <v>0</v>
      </c>
      <c r="Y387" s="84">
        <f t="shared" si="67"/>
        <v>0</v>
      </c>
      <c r="Z387" s="84">
        <f t="shared" si="67"/>
        <v>0</v>
      </c>
      <c r="AA387" s="84">
        <f t="shared" si="67"/>
        <v>13</v>
      </c>
      <c r="AB387" s="84">
        <f t="shared" si="67"/>
        <v>0</v>
      </c>
      <c r="AC387" s="84">
        <f t="shared" si="67"/>
        <v>2.4</v>
      </c>
      <c r="AD387" s="88">
        <f t="shared" si="67"/>
        <v>0</v>
      </c>
      <c r="AE387" s="84">
        <f t="shared" si="67"/>
        <v>0</v>
      </c>
    </row>
    <row r="388" spans="1:31" ht="65.25" thickBot="1">
      <c r="A388" s="155" t="s">
        <v>53</v>
      </c>
      <c r="B388" s="156"/>
      <c r="C388" s="156"/>
      <c r="D388" s="156"/>
      <c r="E388" s="156"/>
      <c r="F388" s="156"/>
      <c r="G388" s="156"/>
      <c r="H388" s="156"/>
      <c r="I388" s="156"/>
      <c r="J388" s="156"/>
      <c r="K388" s="156"/>
      <c r="L388" s="156"/>
      <c r="M388" s="156"/>
      <c r="N388" s="156"/>
      <c r="O388" s="156"/>
      <c r="P388" s="156"/>
      <c r="Q388" s="156"/>
      <c r="R388" s="156"/>
      <c r="S388" s="156"/>
      <c r="T388" s="156"/>
      <c r="U388" s="156"/>
      <c r="V388" s="156"/>
      <c r="W388" s="156"/>
      <c r="X388" s="156"/>
      <c r="Y388" s="156"/>
      <c r="Z388" s="156"/>
      <c r="AA388" s="156"/>
      <c r="AB388" s="156"/>
      <c r="AC388" s="156"/>
      <c r="AD388" s="156"/>
      <c r="AE388" s="157"/>
    </row>
    <row r="389" spans="1:31" ht="65.25" thickBot="1">
      <c r="A389" s="83" t="s">
        <v>32</v>
      </c>
      <c r="B389" s="25" t="s">
        <v>182</v>
      </c>
      <c r="C389" s="84"/>
      <c r="D389" s="86"/>
      <c r="E389" s="86"/>
      <c r="F389" s="86"/>
      <c r="G389" s="86"/>
      <c r="H389" s="86"/>
      <c r="I389" s="86"/>
      <c r="J389" s="86"/>
      <c r="K389" s="86">
        <v>150</v>
      </c>
      <c r="L389" s="86"/>
      <c r="M389" s="86"/>
      <c r="N389" s="86"/>
      <c r="O389" s="87"/>
      <c r="P389" s="84"/>
      <c r="Q389" s="87"/>
      <c r="R389" s="84"/>
      <c r="S389" s="87"/>
      <c r="T389" s="84"/>
      <c r="U389" s="87"/>
      <c r="V389" s="84"/>
      <c r="W389" s="84"/>
      <c r="X389" s="87"/>
      <c r="Y389" s="84"/>
      <c r="Z389" s="84"/>
      <c r="AA389" s="87"/>
      <c r="AB389" s="84"/>
      <c r="AC389" s="87"/>
      <c r="AD389" s="88"/>
      <c r="AE389" s="83"/>
    </row>
    <row r="390" spans="1:31" ht="65.25" thickBot="1">
      <c r="A390" s="83"/>
      <c r="B390" s="22" t="s">
        <v>29</v>
      </c>
      <c r="C390" s="86">
        <f>SUM(C389)</f>
        <v>0</v>
      </c>
      <c r="D390" s="86">
        <f>SUM(D389)</f>
        <v>0</v>
      </c>
      <c r="E390" s="86">
        <f aca="true" t="shared" si="68" ref="E390:AD390">SUM(E389)</f>
        <v>0</v>
      </c>
      <c r="F390" s="86">
        <f t="shared" si="68"/>
        <v>0</v>
      </c>
      <c r="G390" s="86">
        <f t="shared" si="68"/>
        <v>0</v>
      </c>
      <c r="H390" s="86">
        <f t="shared" si="68"/>
        <v>0</v>
      </c>
      <c r="I390" s="86">
        <f t="shared" si="68"/>
        <v>0</v>
      </c>
      <c r="J390" s="86">
        <f t="shared" si="68"/>
        <v>0</v>
      </c>
      <c r="K390" s="86">
        <f t="shared" si="68"/>
        <v>150</v>
      </c>
      <c r="L390" s="86">
        <f t="shared" si="68"/>
        <v>0</v>
      </c>
      <c r="M390" s="86">
        <f t="shared" si="68"/>
        <v>0</v>
      </c>
      <c r="N390" s="86">
        <f t="shared" si="68"/>
        <v>0</v>
      </c>
      <c r="O390" s="86">
        <f t="shared" si="68"/>
        <v>0</v>
      </c>
      <c r="P390" s="86">
        <f t="shared" si="68"/>
        <v>0</v>
      </c>
      <c r="Q390" s="86">
        <f t="shared" si="68"/>
        <v>0</v>
      </c>
      <c r="R390" s="86">
        <f t="shared" si="68"/>
        <v>0</v>
      </c>
      <c r="S390" s="86">
        <f t="shared" si="68"/>
        <v>0</v>
      </c>
      <c r="T390" s="86">
        <f t="shared" si="68"/>
        <v>0</v>
      </c>
      <c r="U390" s="86">
        <f t="shared" si="68"/>
        <v>0</v>
      </c>
      <c r="V390" s="86">
        <f t="shared" si="68"/>
        <v>0</v>
      </c>
      <c r="W390" s="86">
        <f t="shared" si="68"/>
        <v>0</v>
      </c>
      <c r="X390" s="86">
        <f t="shared" si="68"/>
        <v>0</v>
      </c>
      <c r="Y390" s="86">
        <f t="shared" si="68"/>
        <v>0</v>
      </c>
      <c r="Z390" s="86">
        <f t="shared" si="68"/>
        <v>0</v>
      </c>
      <c r="AA390" s="86">
        <f t="shared" si="68"/>
        <v>0</v>
      </c>
      <c r="AB390" s="86">
        <f t="shared" si="68"/>
        <v>0</v>
      </c>
      <c r="AC390" s="86">
        <f t="shared" si="68"/>
        <v>0</v>
      </c>
      <c r="AD390" s="87">
        <f t="shared" si="68"/>
        <v>0</v>
      </c>
      <c r="AE390" s="83">
        <f>SUM(AE389)</f>
        <v>0</v>
      </c>
    </row>
    <row r="391" spans="1:31" ht="65.25" thickBot="1">
      <c r="A391" s="150" t="s">
        <v>31</v>
      </c>
      <c r="B391" s="151"/>
      <c r="C391" s="151"/>
      <c r="D391" s="151"/>
      <c r="E391" s="151"/>
      <c r="F391" s="151"/>
      <c r="G391" s="151"/>
      <c r="H391" s="151"/>
      <c r="I391" s="151"/>
      <c r="J391" s="151"/>
      <c r="K391" s="151"/>
      <c r="L391" s="151"/>
      <c r="M391" s="151"/>
      <c r="N391" s="151"/>
      <c r="O391" s="151"/>
      <c r="P391" s="151"/>
      <c r="Q391" s="151"/>
      <c r="R391" s="151"/>
      <c r="S391" s="151"/>
      <c r="T391" s="151"/>
      <c r="U391" s="151"/>
      <c r="V391" s="151"/>
      <c r="W391" s="151"/>
      <c r="X391" s="151"/>
      <c r="Y391" s="151"/>
      <c r="Z391" s="151"/>
      <c r="AA391" s="151"/>
      <c r="AB391" s="151"/>
      <c r="AC391" s="151"/>
      <c r="AD391" s="151"/>
      <c r="AE391" s="152"/>
    </row>
    <row r="392" spans="1:31" ht="65.25" thickBot="1">
      <c r="A392" s="84">
        <v>82</v>
      </c>
      <c r="B392" s="22" t="s">
        <v>229</v>
      </c>
      <c r="C392" s="84"/>
      <c r="D392" s="86"/>
      <c r="E392" s="86"/>
      <c r="F392" s="86"/>
      <c r="G392" s="86"/>
      <c r="H392" s="86"/>
      <c r="I392" s="86"/>
      <c r="J392" s="86">
        <v>60</v>
      </c>
      <c r="K392" s="86"/>
      <c r="L392" s="86"/>
      <c r="M392" s="86"/>
      <c r="N392" s="86"/>
      <c r="O392" s="87"/>
      <c r="P392" s="84"/>
      <c r="Q392" s="87"/>
      <c r="R392" s="84"/>
      <c r="S392" s="87"/>
      <c r="T392" s="84"/>
      <c r="U392" s="84"/>
      <c r="V392" s="87"/>
      <c r="W392" s="84"/>
      <c r="X392" s="87"/>
      <c r="Y392" s="84"/>
      <c r="Z392" s="84"/>
      <c r="AA392" s="87"/>
      <c r="AB392" s="84"/>
      <c r="AC392" s="87"/>
      <c r="AD392" s="88"/>
      <c r="AE392" s="83"/>
    </row>
    <row r="393" spans="1:31" ht="65.25" thickBot="1">
      <c r="A393" s="83">
        <v>18</v>
      </c>
      <c r="B393" s="22" t="s">
        <v>216</v>
      </c>
      <c r="C393" s="84"/>
      <c r="D393" s="86"/>
      <c r="E393" s="86"/>
      <c r="F393" s="86"/>
      <c r="G393" s="86">
        <v>4</v>
      </c>
      <c r="H393" s="86"/>
      <c r="I393" s="86">
        <v>66</v>
      </c>
      <c r="J393" s="86">
        <v>20</v>
      </c>
      <c r="K393" s="86"/>
      <c r="L393" s="86"/>
      <c r="M393" s="86"/>
      <c r="N393" s="86"/>
      <c r="O393" s="87"/>
      <c r="P393" s="83"/>
      <c r="Q393" s="87">
        <v>3</v>
      </c>
      <c r="R393" s="83"/>
      <c r="S393" s="87"/>
      <c r="T393" s="83"/>
      <c r="U393" s="87"/>
      <c r="V393" s="83"/>
      <c r="W393" s="83">
        <v>13</v>
      </c>
      <c r="X393" s="86"/>
      <c r="Y393" s="83"/>
      <c r="Z393" s="83"/>
      <c r="AA393" s="87"/>
      <c r="AB393" s="83"/>
      <c r="AC393" s="83"/>
      <c r="AD393" s="87"/>
      <c r="AE393" s="83"/>
    </row>
    <row r="394" spans="1:31" ht="129.75" thickBot="1">
      <c r="A394" s="94">
        <v>64</v>
      </c>
      <c r="B394" s="75" t="s">
        <v>179</v>
      </c>
      <c r="C394" s="95"/>
      <c r="D394" s="96"/>
      <c r="E394" s="96">
        <v>4</v>
      </c>
      <c r="F394" s="96"/>
      <c r="G394" s="96">
        <v>5</v>
      </c>
      <c r="H394" s="96"/>
      <c r="I394" s="96"/>
      <c r="J394" s="96">
        <v>16</v>
      </c>
      <c r="K394" s="96"/>
      <c r="L394" s="96"/>
      <c r="M394" s="96"/>
      <c r="N394" s="96"/>
      <c r="O394" s="97"/>
      <c r="P394" s="94"/>
      <c r="Q394" s="97"/>
      <c r="R394" s="94">
        <v>5</v>
      </c>
      <c r="S394" s="97">
        <v>2.4</v>
      </c>
      <c r="T394" s="94"/>
      <c r="U394" s="97"/>
      <c r="V394" s="94"/>
      <c r="W394" s="94">
        <v>38</v>
      </c>
      <c r="X394" s="97"/>
      <c r="Y394" s="94"/>
      <c r="Z394" s="94"/>
      <c r="AA394" s="97"/>
      <c r="AB394" s="94"/>
      <c r="AC394" s="94"/>
      <c r="AD394" s="97"/>
      <c r="AE394" s="105"/>
    </row>
    <row r="395" spans="1:31" ht="65.25" thickBot="1">
      <c r="A395" s="83">
        <v>89</v>
      </c>
      <c r="B395" s="22" t="s">
        <v>230</v>
      </c>
      <c r="C395" s="84"/>
      <c r="D395" s="86"/>
      <c r="E395" s="86">
        <v>0.7</v>
      </c>
      <c r="F395" s="86"/>
      <c r="G395" s="86"/>
      <c r="H395" s="86"/>
      <c r="I395" s="86"/>
      <c r="J395" s="86"/>
      <c r="K395" s="86"/>
      <c r="L395" s="86"/>
      <c r="M395" s="86"/>
      <c r="N395" s="86"/>
      <c r="O395" s="87"/>
      <c r="P395" s="83"/>
      <c r="Q395" s="87">
        <v>0.7</v>
      </c>
      <c r="R395" s="83"/>
      <c r="S395" s="87"/>
      <c r="T395" s="83"/>
      <c r="U395" s="83"/>
      <c r="V395" s="87"/>
      <c r="W395" s="83"/>
      <c r="X395" s="87"/>
      <c r="Y395" s="83"/>
      <c r="Z395" s="83">
        <v>11</v>
      </c>
      <c r="AA395" s="87"/>
      <c r="AB395" s="83"/>
      <c r="AC395" s="87"/>
      <c r="AD395" s="90"/>
      <c r="AE395" s="83"/>
    </row>
    <row r="396" spans="1:31" ht="65.25" thickBot="1">
      <c r="A396" s="84">
        <v>8</v>
      </c>
      <c r="B396" s="22" t="s">
        <v>37</v>
      </c>
      <c r="C396" s="84"/>
      <c r="D396" s="86"/>
      <c r="E396" s="86"/>
      <c r="F396" s="86"/>
      <c r="G396" s="86"/>
      <c r="H396" s="86"/>
      <c r="I396" s="86">
        <v>111</v>
      </c>
      <c r="J396" s="86"/>
      <c r="K396" s="86"/>
      <c r="L396" s="86"/>
      <c r="M396" s="86"/>
      <c r="N396" s="86"/>
      <c r="O396" s="87"/>
      <c r="P396" s="83"/>
      <c r="Q396" s="87">
        <v>5</v>
      </c>
      <c r="R396" s="83"/>
      <c r="S396" s="87"/>
      <c r="T396" s="83">
        <v>20</v>
      </c>
      <c r="U396" s="90"/>
      <c r="V396" s="83"/>
      <c r="W396" s="83"/>
      <c r="X396" s="87"/>
      <c r="Y396" s="83"/>
      <c r="Z396" s="83"/>
      <c r="AA396" s="87"/>
      <c r="AB396" s="83"/>
      <c r="AC396" s="87"/>
      <c r="AD396" s="90"/>
      <c r="AE396" s="83"/>
    </row>
    <row r="397" spans="1:31" ht="65.25" thickBot="1">
      <c r="A397" s="83">
        <v>9</v>
      </c>
      <c r="B397" s="25" t="s">
        <v>225</v>
      </c>
      <c r="C397" s="84"/>
      <c r="D397" s="86"/>
      <c r="E397" s="86"/>
      <c r="F397" s="86"/>
      <c r="G397" s="86"/>
      <c r="H397" s="86"/>
      <c r="I397" s="86"/>
      <c r="J397" s="86"/>
      <c r="K397" s="86"/>
      <c r="L397" s="86"/>
      <c r="M397" s="86"/>
      <c r="N397" s="86">
        <v>18</v>
      </c>
      <c r="O397" s="87"/>
      <c r="P397" s="83">
        <v>13</v>
      </c>
      <c r="Q397" s="87"/>
      <c r="R397" s="84"/>
      <c r="S397" s="87"/>
      <c r="T397" s="84"/>
      <c r="U397" s="87"/>
      <c r="V397" s="84"/>
      <c r="W397" s="84"/>
      <c r="X397" s="87"/>
      <c r="Y397" s="84"/>
      <c r="Z397" s="84"/>
      <c r="AA397" s="87"/>
      <c r="AB397" s="84"/>
      <c r="AC397" s="87"/>
      <c r="AD397" s="88"/>
      <c r="AE397" s="83"/>
    </row>
    <row r="398" spans="1:31" ht="129.75" thickBot="1">
      <c r="A398" s="83" t="s">
        <v>32</v>
      </c>
      <c r="B398" s="22" t="s">
        <v>56</v>
      </c>
      <c r="C398" s="84">
        <v>25</v>
      </c>
      <c r="D398" s="86"/>
      <c r="E398" s="86"/>
      <c r="F398" s="86"/>
      <c r="G398" s="86"/>
      <c r="H398" s="86"/>
      <c r="I398" s="86"/>
      <c r="J398" s="86"/>
      <c r="K398" s="86"/>
      <c r="L398" s="86"/>
      <c r="M398" s="86"/>
      <c r="N398" s="86"/>
      <c r="O398" s="86"/>
      <c r="P398" s="86"/>
      <c r="Q398" s="86"/>
      <c r="R398" s="86"/>
      <c r="S398" s="86"/>
      <c r="T398" s="86"/>
      <c r="U398" s="87"/>
      <c r="V398" s="83"/>
      <c r="W398" s="86"/>
      <c r="X398" s="87"/>
      <c r="Y398" s="83"/>
      <c r="Z398" s="86"/>
      <c r="AA398" s="86"/>
      <c r="AB398" s="86"/>
      <c r="AC398" s="86"/>
      <c r="AD398" s="87"/>
      <c r="AE398" s="83"/>
    </row>
    <row r="399" spans="1:31" ht="129.75" thickBot="1">
      <c r="A399" s="83" t="s">
        <v>32</v>
      </c>
      <c r="B399" s="22" t="s">
        <v>58</v>
      </c>
      <c r="C399" s="84"/>
      <c r="D399" s="86">
        <v>50</v>
      </c>
      <c r="E399" s="86"/>
      <c r="F399" s="86"/>
      <c r="G399" s="86"/>
      <c r="H399" s="86"/>
      <c r="I399" s="86"/>
      <c r="J399" s="86"/>
      <c r="K399" s="86"/>
      <c r="L399" s="86"/>
      <c r="M399" s="86"/>
      <c r="N399" s="88"/>
      <c r="O399" s="84"/>
      <c r="P399" s="85"/>
      <c r="Q399" s="85"/>
      <c r="R399" s="85"/>
      <c r="S399" s="85"/>
      <c r="T399" s="84"/>
      <c r="U399" s="91"/>
      <c r="V399" s="84"/>
      <c r="W399" s="91"/>
      <c r="X399" s="84"/>
      <c r="Y399" s="85"/>
      <c r="Z399" s="91"/>
      <c r="AA399" s="84"/>
      <c r="AB399" s="85"/>
      <c r="AC399" s="85"/>
      <c r="AD399" s="91"/>
      <c r="AE399" s="84"/>
    </row>
    <row r="400" spans="1:31" ht="65.25" thickBot="1">
      <c r="A400" s="84"/>
      <c r="B400" s="25" t="s">
        <v>29</v>
      </c>
      <c r="C400" s="84">
        <f aca="true" t="shared" si="69" ref="C400:AE400">SUM(C392:C399)</f>
        <v>25</v>
      </c>
      <c r="D400" s="84">
        <f t="shared" si="69"/>
        <v>50</v>
      </c>
      <c r="E400" s="84">
        <f t="shared" si="69"/>
        <v>4.7</v>
      </c>
      <c r="F400" s="84">
        <f t="shared" si="69"/>
        <v>0</v>
      </c>
      <c r="G400" s="84">
        <f t="shared" si="69"/>
        <v>9</v>
      </c>
      <c r="H400" s="84">
        <f t="shared" si="69"/>
        <v>0</v>
      </c>
      <c r="I400" s="84">
        <f t="shared" si="69"/>
        <v>177</v>
      </c>
      <c r="J400" s="84">
        <f t="shared" si="69"/>
        <v>96</v>
      </c>
      <c r="K400" s="84">
        <f t="shared" si="69"/>
        <v>0</v>
      </c>
      <c r="L400" s="84">
        <f t="shared" si="69"/>
        <v>0</v>
      </c>
      <c r="M400" s="84">
        <f t="shared" si="69"/>
        <v>0</v>
      </c>
      <c r="N400" s="84">
        <f t="shared" si="69"/>
        <v>18</v>
      </c>
      <c r="O400" s="84">
        <f t="shared" si="69"/>
        <v>0</v>
      </c>
      <c r="P400" s="84">
        <f t="shared" si="69"/>
        <v>13</v>
      </c>
      <c r="Q400" s="84">
        <f t="shared" si="69"/>
        <v>8.7</v>
      </c>
      <c r="R400" s="84">
        <f t="shared" si="69"/>
        <v>5</v>
      </c>
      <c r="S400" s="84">
        <f t="shared" si="69"/>
        <v>2.4</v>
      </c>
      <c r="T400" s="84">
        <f t="shared" si="69"/>
        <v>20</v>
      </c>
      <c r="U400" s="84">
        <f t="shared" si="69"/>
        <v>0</v>
      </c>
      <c r="V400" s="84">
        <f t="shared" si="69"/>
        <v>0</v>
      </c>
      <c r="W400" s="84">
        <f t="shared" si="69"/>
        <v>51</v>
      </c>
      <c r="X400" s="84">
        <f t="shared" si="69"/>
        <v>0</v>
      </c>
      <c r="Y400" s="84">
        <f t="shared" si="69"/>
        <v>0</v>
      </c>
      <c r="Z400" s="84">
        <f t="shared" si="69"/>
        <v>11</v>
      </c>
      <c r="AA400" s="84">
        <f t="shared" si="69"/>
        <v>0</v>
      </c>
      <c r="AB400" s="84">
        <f t="shared" si="69"/>
        <v>0</v>
      </c>
      <c r="AC400" s="84">
        <f t="shared" si="69"/>
        <v>0</v>
      </c>
      <c r="AD400" s="88">
        <f t="shared" si="69"/>
        <v>0</v>
      </c>
      <c r="AE400" s="84">
        <f t="shared" si="69"/>
        <v>0</v>
      </c>
    </row>
    <row r="401" spans="1:31" ht="65.25" thickBot="1">
      <c r="A401" s="150" t="s">
        <v>145</v>
      </c>
      <c r="B401" s="151"/>
      <c r="C401" s="151"/>
      <c r="D401" s="151"/>
      <c r="E401" s="151"/>
      <c r="F401" s="151"/>
      <c r="G401" s="151"/>
      <c r="H401" s="151"/>
      <c r="I401" s="151"/>
      <c r="J401" s="151"/>
      <c r="K401" s="151"/>
      <c r="L401" s="151"/>
      <c r="M401" s="151"/>
      <c r="N401" s="151"/>
      <c r="O401" s="151"/>
      <c r="P401" s="151"/>
      <c r="Q401" s="151"/>
      <c r="R401" s="151"/>
      <c r="S401" s="151"/>
      <c r="T401" s="151"/>
      <c r="U401" s="151"/>
      <c r="V401" s="151"/>
      <c r="W401" s="151"/>
      <c r="X401" s="151"/>
      <c r="Y401" s="151"/>
      <c r="Z401" s="151"/>
      <c r="AA401" s="151"/>
      <c r="AB401" s="151"/>
      <c r="AC401" s="151"/>
      <c r="AD401" s="151"/>
      <c r="AE401" s="152"/>
    </row>
    <row r="402" spans="1:31" ht="129.75" thickBot="1">
      <c r="A402" s="92">
        <v>21.1</v>
      </c>
      <c r="B402" s="27" t="s">
        <v>172</v>
      </c>
      <c r="C402" s="83"/>
      <c r="D402" s="86"/>
      <c r="E402" s="83"/>
      <c r="F402" s="83"/>
      <c r="G402" s="83"/>
      <c r="H402" s="86"/>
      <c r="I402" s="86"/>
      <c r="J402" s="86"/>
      <c r="K402" s="86"/>
      <c r="L402" s="86"/>
      <c r="M402" s="86"/>
      <c r="N402" s="86"/>
      <c r="O402" s="87"/>
      <c r="P402" s="84"/>
      <c r="Q402" s="87"/>
      <c r="R402" s="84"/>
      <c r="S402" s="87"/>
      <c r="T402" s="84">
        <v>185</v>
      </c>
      <c r="U402" s="87"/>
      <c r="V402" s="84"/>
      <c r="W402" s="84"/>
      <c r="X402" s="87"/>
      <c r="Y402" s="84"/>
      <c r="Z402" s="84"/>
      <c r="AA402" s="87"/>
      <c r="AB402" s="84"/>
      <c r="AC402" s="87"/>
      <c r="AD402" s="88"/>
      <c r="AE402" s="83"/>
    </row>
    <row r="403" spans="1:31" ht="65.25" thickBot="1">
      <c r="A403" s="94">
        <v>78</v>
      </c>
      <c r="B403" s="75" t="s">
        <v>88</v>
      </c>
      <c r="C403" s="95"/>
      <c r="D403" s="106"/>
      <c r="E403" s="106">
        <v>48</v>
      </c>
      <c r="F403" s="106"/>
      <c r="G403" s="106"/>
      <c r="H403" s="96"/>
      <c r="I403" s="96"/>
      <c r="J403" s="96"/>
      <c r="K403" s="96"/>
      <c r="L403" s="96"/>
      <c r="M403" s="96"/>
      <c r="N403" s="96"/>
      <c r="O403" s="96"/>
      <c r="P403" s="96">
        <v>10</v>
      </c>
      <c r="Q403" s="96">
        <v>7</v>
      </c>
      <c r="R403" s="96">
        <v>1</v>
      </c>
      <c r="S403" s="96">
        <v>5.4</v>
      </c>
      <c r="T403" s="96">
        <v>20</v>
      </c>
      <c r="U403" s="96"/>
      <c r="V403" s="96"/>
      <c r="W403" s="96"/>
      <c r="X403" s="96"/>
      <c r="Y403" s="96"/>
      <c r="Z403" s="96"/>
      <c r="AA403" s="96"/>
      <c r="AB403" s="96"/>
      <c r="AC403" s="96"/>
      <c r="AD403" s="97"/>
      <c r="AE403" s="84">
        <v>1.5</v>
      </c>
    </row>
    <row r="404" spans="1:31" ht="65.25" thickBot="1">
      <c r="A404" s="84"/>
      <c r="B404" s="22" t="s">
        <v>29</v>
      </c>
      <c r="C404" s="84">
        <f aca="true" t="shared" si="70" ref="C404:AE404">C402+C403</f>
        <v>0</v>
      </c>
      <c r="D404" s="84">
        <f t="shared" si="70"/>
        <v>0</v>
      </c>
      <c r="E404" s="84">
        <f t="shared" si="70"/>
        <v>48</v>
      </c>
      <c r="F404" s="84">
        <f t="shared" si="70"/>
        <v>0</v>
      </c>
      <c r="G404" s="84">
        <f t="shared" si="70"/>
        <v>0</v>
      </c>
      <c r="H404" s="84">
        <f t="shared" si="70"/>
        <v>0</v>
      </c>
      <c r="I404" s="84">
        <f t="shared" si="70"/>
        <v>0</v>
      </c>
      <c r="J404" s="84">
        <f t="shared" si="70"/>
        <v>0</v>
      </c>
      <c r="K404" s="84">
        <f t="shared" si="70"/>
        <v>0</v>
      </c>
      <c r="L404" s="84">
        <f t="shared" si="70"/>
        <v>0</v>
      </c>
      <c r="M404" s="84">
        <f t="shared" si="70"/>
        <v>0</v>
      </c>
      <c r="N404" s="84">
        <f t="shared" si="70"/>
        <v>0</v>
      </c>
      <c r="O404" s="84">
        <f t="shared" si="70"/>
        <v>0</v>
      </c>
      <c r="P404" s="84">
        <f t="shared" si="70"/>
        <v>10</v>
      </c>
      <c r="Q404" s="84">
        <f t="shared" si="70"/>
        <v>7</v>
      </c>
      <c r="R404" s="84">
        <f t="shared" si="70"/>
        <v>1</v>
      </c>
      <c r="S404" s="84">
        <f t="shared" si="70"/>
        <v>5.4</v>
      </c>
      <c r="T404" s="84">
        <f t="shared" si="70"/>
        <v>205</v>
      </c>
      <c r="U404" s="84">
        <f t="shared" si="70"/>
        <v>0</v>
      </c>
      <c r="V404" s="84">
        <f t="shared" si="70"/>
        <v>0</v>
      </c>
      <c r="W404" s="84">
        <f t="shared" si="70"/>
        <v>0</v>
      </c>
      <c r="X404" s="84">
        <f t="shared" si="70"/>
        <v>0</v>
      </c>
      <c r="Y404" s="84">
        <f t="shared" si="70"/>
        <v>0</v>
      </c>
      <c r="Z404" s="84">
        <f t="shared" si="70"/>
        <v>0</v>
      </c>
      <c r="AA404" s="84">
        <f t="shared" si="70"/>
        <v>0</v>
      </c>
      <c r="AB404" s="84">
        <f t="shared" si="70"/>
        <v>0</v>
      </c>
      <c r="AC404" s="84">
        <f t="shared" si="70"/>
        <v>0</v>
      </c>
      <c r="AD404" s="84">
        <f t="shared" si="70"/>
        <v>0</v>
      </c>
      <c r="AE404" s="84">
        <f t="shared" si="70"/>
        <v>1.5</v>
      </c>
    </row>
    <row r="405" spans="1:31" ht="65.25" thickBot="1">
      <c r="A405" s="150" t="s">
        <v>144</v>
      </c>
      <c r="B405" s="151"/>
      <c r="C405" s="151"/>
      <c r="D405" s="151"/>
      <c r="E405" s="151"/>
      <c r="F405" s="151"/>
      <c r="G405" s="151"/>
      <c r="H405" s="151"/>
      <c r="I405" s="151"/>
      <c r="J405" s="151"/>
      <c r="K405" s="151"/>
      <c r="L405" s="151"/>
      <c r="M405" s="151"/>
      <c r="N405" s="151"/>
      <c r="O405" s="151"/>
      <c r="P405" s="151"/>
      <c r="Q405" s="151"/>
      <c r="R405" s="151"/>
      <c r="S405" s="151"/>
      <c r="T405" s="151"/>
      <c r="U405" s="151"/>
      <c r="V405" s="151"/>
      <c r="W405" s="151"/>
      <c r="X405" s="151"/>
      <c r="Y405" s="151"/>
      <c r="Z405" s="151"/>
      <c r="AA405" s="151"/>
      <c r="AB405" s="151"/>
      <c r="AC405" s="151"/>
      <c r="AD405" s="151"/>
      <c r="AE405" s="152"/>
    </row>
    <row r="406" spans="1:31" ht="65.25" thickBot="1">
      <c r="A406" s="83">
        <v>67</v>
      </c>
      <c r="B406" s="22" t="s">
        <v>180</v>
      </c>
      <c r="C406" s="84"/>
      <c r="D406" s="86"/>
      <c r="E406" s="86"/>
      <c r="F406" s="86"/>
      <c r="G406" s="86"/>
      <c r="H406" s="86"/>
      <c r="I406" s="86">
        <v>67</v>
      </c>
      <c r="J406" s="86">
        <v>20</v>
      </c>
      <c r="K406" s="86"/>
      <c r="L406" s="86"/>
      <c r="M406" s="86"/>
      <c r="N406" s="87"/>
      <c r="O406" s="83"/>
      <c r="P406" s="87"/>
      <c r="Q406" s="83"/>
      <c r="R406" s="87">
        <v>4</v>
      </c>
      <c r="S406" s="83"/>
      <c r="T406" s="83"/>
      <c r="U406" s="87"/>
      <c r="V406" s="83"/>
      <c r="W406" s="87"/>
      <c r="X406" s="84"/>
      <c r="Y406" s="84">
        <v>63</v>
      </c>
      <c r="Z406" s="87"/>
      <c r="AA406" s="83"/>
      <c r="AB406" s="87"/>
      <c r="AC406" s="83"/>
      <c r="AD406" s="90"/>
      <c r="AE406" s="83"/>
    </row>
    <row r="407" spans="1:31" ht="129.75" thickBot="1">
      <c r="A407" s="83" t="s">
        <v>32</v>
      </c>
      <c r="B407" s="22" t="s">
        <v>56</v>
      </c>
      <c r="C407" s="84">
        <v>25</v>
      </c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6"/>
      <c r="O407" s="86"/>
      <c r="P407" s="86"/>
      <c r="Q407" s="86"/>
      <c r="R407" s="86"/>
      <c r="S407" s="86"/>
      <c r="T407" s="87"/>
      <c r="U407" s="83"/>
      <c r="V407" s="86"/>
      <c r="W407" s="87"/>
      <c r="X407" s="83"/>
      <c r="Y407" s="86"/>
      <c r="Z407" s="86"/>
      <c r="AA407" s="86"/>
      <c r="AB407" s="84"/>
      <c r="AC407" s="86"/>
      <c r="AD407" s="87"/>
      <c r="AE407" s="83"/>
    </row>
    <row r="408" spans="1:31" ht="65.25" thickBot="1">
      <c r="A408" s="83">
        <v>76</v>
      </c>
      <c r="B408" s="23" t="s">
        <v>171</v>
      </c>
      <c r="C408" s="84"/>
      <c r="D408" s="85"/>
      <c r="E408" s="85"/>
      <c r="F408" s="85"/>
      <c r="G408" s="85"/>
      <c r="H408" s="86"/>
      <c r="I408" s="86"/>
      <c r="J408" s="86"/>
      <c r="K408" s="86"/>
      <c r="L408" s="86"/>
      <c r="M408" s="86"/>
      <c r="N408" s="86"/>
      <c r="O408" s="87"/>
      <c r="P408" s="84">
        <v>10</v>
      </c>
      <c r="Q408" s="87"/>
      <c r="R408" s="84"/>
      <c r="S408" s="87"/>
      <c r="T408" s="84">
        <v>80</v>
      </c>
      <c r="U408" s="84"/>
      <c r="V408" s="87"/>
      <c r="W408" s="84"/>
      <c r="X408" s="87"/>
      <c r="Y408" s="84"/>
      <c r="Z408" s="84"/>
      <c r="AA408" s="87"/>
      <c r="AB408" s="84">
        <v>0.58</v>
      </c>
      <c r="AC408" s="84"/>
      <c r="AD408" s="87"/>
      <c r="AE408" s="83"/>
    </row>
    <row r="409" spans="1:31" ht="129.75" thickBot="1">
      <c r="A409" s="83">
        <v>69</v>
      </c>
      <c r="B409" s="22" t="s">
        <v>106</v>
      </c>
      <c r="C409" s="84"/>
      <c r="D409" s="86"/>
      <c r="E409" s="86"/>
      <c r="F409" s="86"/>
      <c r="G409" s="86"/>
      <c r="H409" s="86"/>
      <c r="I409" s="86"/>
      <c r="J409" s="86"/>
      <c r="K409" s="86"/>
      <c r="L409" s="86"/>
      <c r="M409" s="86">
        <v>85</v>
      </c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7"/>
      <c r="AE409" s="84"/>
    </row>
    <row r="410" spans="1:31" ht="65.25" thickBot="1">
      <c r="A410" s="80"/>
      <c r="B410" s="22" t="s">
        <v>6</v>
      </c>
      <c r="C410" s="84">
        <f aca="true" t="shared" si="71" ref="C410:AE410">SUM(C406:C409)</f>
        <v>25</v>
      </c>
      <c r="D410" s="84">
        <f t="shared" si="71"/>
        <v>0</v>
      </c>
      <c r="E410" s="84">
        <f t="shared" si="71"/>
        <v>0</v>
      </c>
      <c r="F410" s="84">
        <f t="shared" si="71"/>
        <v>0</v>
      </c>
      <c r="G410" s="84">
        <f t="shared" si="71"/>
        <v>0</v>
      </c>
      <c r="H410" s="84">
        <f t="shared" si="71"/>
        <v>0</v>
      </c>
      <c r="I410" s="84">
        <f t="shared" si="71"/>
        <v>67</v>
      </c>
      <c r="J410" s="84">
        <f t="shared" si="71"/>
        <v>20</v>
      </c>
      <c r="K410" s="84">
        <f t="shared" si="71"/>
        <v>0</v>
      </c>
      <c r="L410" s="84">
        <f t="shared" si="71"/>
        <v>0</v>
      </c>
      <c r="M410" s="84">
        <f t="shared" si="71"/>
        <v>85</v>
      </c>
      <c r="N410" s="84">
        <f t="shared" si="71"/>
        <v>0</v>
      </c>
      <c r="O410" s="84">
        <f t="shared" si="71"/>
        <v>0</v>
      </c>
      <c r="P410" s="84">
        <f t="shared" si="71"/>
        <v>10</v>
      </c>
      <c r="Q410" s="84">
        <f t="shared" si="71"/>
        <v>0</v>
      </c>
      <c r="R410" s="84">
        <f t="shared" si="71"/>
        <v>4</v>
      </c>
      <c r="S410" s="84">
        <f t="shared" si="71"/>
        <v>0</v>
      </c>
      <c r="T410" s="84">
        <f t="shared" si="71"/>
        <v>80</v>
      </c>
      <c r="U410" s="84">
        <f t="shared" si="71"/>
        <v>0</v>
      </c>
      <c r="V410" s="84">
        <f t="shared" si="71"/>
        <v>0</v>
      </c>
      <c r="W410" s="84">
        <f t="shared" si="71"/>
        <v>0</v>
      </c>
      <c r="X410" s="84">
        <f t="shared" si="71"/>
        <v>0</v>
      </c>
      <c r="Y410" s="84">
        <f t="shared" si="71"/>
        <v>63</v>
      </c>
      <c r="Z410" s="84">
        <f t="shared" si="71"/>
        <v>0</v>
      </c>
      <c r="AA410" s="84">
        <f t="shared" si="71"/>
        <v>0</v>
      </c>
      <c r="AB410" s="84">
        <f t="shared" si="71"/>
        <v>0.58</v>
      </c>
      <c r="AC410" s="84">
        <f t="shared" si="71"/>
        <v>0</v>
      </c>
      <c r="AD410" s="84">
        <f t="shared" si="71"/>
        <v>0</v>
      </c>
      <c r="AE410" s="84">
        <f t="shared" si="71"/>
        <v>0</v>
      </c>
    </row>
    <row r="411" spans="1:35" s="82" customFormat="1" ht="194.25" thickBot="1">
      <c r="A411" s="145"/>
      <c r="B411" s="22" t="s">
        <v>150</v>
      </c>
      <c r="C411" s="84"/>
      <c r="D411" s="84"/>
      <c r="E411" s="84"/>
      <c r="F411" s="84"/>
      <c r="G411" s="84"/>
      <c r="H411" s="84"/>
      <c r="I411" s="84"/>
      <c r="J411" s="84"/>
      <c r="K411" s="84"/>
      <c r="L411" s="84"/>
      <c r="M411" s="84"/>
      <c r="N411" s="84"/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  <c r="AB411" s="84"/>
      <c r="AC411" s="84"/>
      <c r="AD411" s="88"/>
      <c r="AE411" s="84"/>
      <c r="AF411" s="13"/>
      <c r="AG411" s="13"/>
      <c r="AH411" s="13"/>
      <c r="AI411" s="13"/>
    </row>
    <row r="412" spans="1:31" ht="65.25" thickBot="1">
      <c r="A412" s="83"/>
      <c r="B412" s="93" t="s">
        <v>10</v>
      </c>
      <c r="C412" s="84">
        <f aca="true" t="shared" si="72" ref="C412:AE412">C387+C390+C400+C404+C410</f>
        <v>75</v>
      </c>
      <c r="D412" s="84">
        <f t="shared" si="72"/>
        <v>50</v>
      </c>
      <c r="E412" s="84">
        <f t="shared" si="72"/>
        <v>52.7</v>
      </c>
      <c r="F412" s="84">
        <f t="shared" si="72"/>
        <v>0</v>
      </c>
      <c r="G412" s="84">
        <f t="shared" si="72"/>
        <v>32</v>
      </c>
      <c r="H412" s="84">
        <f t="shared" si="72"/>
        <v>0</v>
      </c>
      <c r="I412" s="84">
        <f t="shared" si="72"/>
        <v>244</v>
      </c>
      <c r="J412" s="84">
        <f t="shared" si="72"/>
        <v>116</v>
      </c>
      <c r="K412" s="84">
        <f t="shared" si="72"/>
        <v>150</v>
      </c>
      <c r="L412" s="84">
        <f t="shared" si="72"/>
        <v>0</v>
      </c>
      <c r="M412" s="84">
        <f t="shared" si="72"/>
        <v>85</v>
      </c>
      <c r="N412" s="84">
        <f t="shared" si="72"/>
        <v>18</v>
      </c>
      <c r="O412" s="84">
        <f t="shared" si="72"/>
        <v>0</v>
      </c>
      <c r="P412" s="84">
        <f t="shared" si="72"/>
        <v>49</v>
      </c>
      <c r="Q412" s="84">
        <f t="shared" si="72"/>
        <v>22.7</v>
      </c>
      <c r="R412" s="84">
        <f t="shared" si="72"/>
        <v>10</v>
      </c>
      <c r="S412" s="84">
        <f t="shared" si="72"/>
        <v>7.800000000000001</v>
      </c>
      <c r="T412" s="84">
        <f t="shared" si="72"/>
        <v>541</v>
      </c>
      <c r="U412" s="84">
        <f t="shared" si="72"/>
        <v>0</v>
      </c>
      <c r="V412" s="84">
        <f t="shared" si="72"/>
        <v>0</v>
      </c>
      <c r="W412" s="84">
        <f t="shared" si="72"/>
        <v>51</v>
      </c>
      <c r="X412" s="84">
        <f t="shared" si="72"/>
        <v>0</v>
      </c>
      <c r="Y412" s="84">
        <f t="shared" si="72"/>
        <v>63</v>
      </c>
      <c r="Z412" s="84">
        <f t="shared" si="72"/>
        <v>11</v>
      </c>
      <c r="AA412" s="84">
        <f t="shared" si="72"/>
        <v>13</v>
      </c>
      <c r="AB412" s="84">
        <f t="shared" si="72"/>
        <v>0.58</v>
      </c>
      <c r="AC412" s="84">
        <f t="shared" si="72"/>
        <v>2.4</v>
      </c>
      <c r="AD412" s="84">
        <f t="shared" si="72"/>
        <v>0</v>
      </c>
      <c r="AE412" s="84">
        <f t="shared" si="72"/>
        <v>1.5</v>
      </c>
    </row>
    <row r="413" spans="1:31" ht="77.25" customHeight="1" thickBot="1">
      <c r="A413" s="150" t="s">
        <v>40</v>
      </c>
      <c r="B413" s="151"/>
      <c r="C413" s="151"/>
      <c r="D413" s="151"/>
      <c r="E413" s="151"/>
      <c r="F413" s="151"/>
      <c r="G413" s="151"/>
      <c r="H413" s="151"/>
      <c r="I413" s="151"/>
      <c r="J413" s="151"/>
      <c r="K413" s="151"/>
      <c r="L413" s="151"/>
      <c r="M413" s="151"/>
      <c r="N413" s="151"/>
      <c r="O413" s="151"/>
      <c r="P413" s="151"/>
      <c r="Q413" s="151"/>
      <c r="R413" s="151"/>
      <c r="S413" s="151"/>
      <c r="T413" s="151"/>
      <c r="U413" s="151"/>
      <c r="V413" s="151"/>
      <c r="W413" s="151"/>
      <c r="X413" s="151"/>
      <c r="Y413" s="151"/>
      <c r="Z413" s="151"/>
      <c r="AA413" s="151"/>
      <c r="AB413" s="151"/>
      <c r="AC413" s="151"/>
      <c r="AD413" s="151"/>
      <c r="AE413" s="152"/>
    </row>
    <row r="414" spans="1:31" ht="65.25" thickBot="1">
      <c r="A414" s="150" t="s">
        <v>89</v>
      </c>
      <c r="B414" s="151"/>
      <c r="C414" s="151"/>
      <c r="D414" s="151"/>
      <c r="E414" s="151"/>
      <c r="F414" s="151"/>
      <c r="G414" s="151"/>
      <c r="H414" s="151"/>
      <c r="I414" s="151"/>
      <c r="J414" s="151"/>
      <c r="K414" s="151"/>
      <c r="L414" s="151"/>
      <c r="M414" s="151"/>
      <c r="N414" s="151"/>
      <c r="O414" s="151"/>
      <c r="P414" s="151"/>
      <c r="Q414" s="151"/>
      <c r="R414" s="151"/>
      <c r="S414" s="151"/>
      <c r="T414" s="151"/>
      <c r="U414" s="151"/>
      <c r="V414" s="151"/>
      <c r="W414" s="151"/>
      <c r="X414" s="151"/>
      <c r="Y414" s="151"/>
      <c r="Z414" s="151"/>
      <c r="AA414" s="151"/>
      <c r="AB414" s="151"/>
      <c r="AC414" s="151"/>
      <c r="AD414" s="151"/>
      <c r="AE414" s="152"/>
    </row>
    <row r="415" spans="1:31" ht="46.5" customHeight="1">
      <c r="A415" s="166" t="s">
        <v>30</v>
      </c>
      <c r="B415" s="168" t="s">
        <v>23</v>
      </c>
      <c r="C415" s="153" t="s">
        <v>116</v>
      </c>
      <c r="D415" s="153" t="s">
        <v>117</v>
      </c>
      <c r="E415" s="153" t="s">
        <v>130</v>
      </c>
      <c r="F415" s="153" t="s">
        <v>119</v>
      </c>
      <c r="G415" s="153" t="s">
        <v>131</v>
      </c>
      <c r="H415" s="153" t="s">
        <v>132</v>
      </c>
      <c r="I415" s="153" t="s">
        <v>110</v>
      </c>
      <c r="J415" s="153" t="s">
        <v>257</v>
      </c>
      <c r="K415" s="140"/>
      <c r="L415" s="140"/>
      <c r="M415" s="153" t="s">
        <v>142</v>
      </c>
      <c r="N415" s="153" t="s">
        <v>79</v>
      </c>
      <c r="O415" s="153" t="s">
        <v>139</v>
      </c>
      <c r="P415" s="153" t="s">
        <v>80</v>
      </c>
      <c r="Q415" s="153" t="s">
        <v>124</v>
      </c>
      <c r="R415" s="153" t="s">
        <v>81</v>
      </c>
      <c r="S415" s="153" t="s">
        <v>134</v>
      </c>
      <c r="T415" s="153" t="s">
        <v>135</v>
      </c>
      <c r="U415" s="153" t="s">
        <v>136</v>
      </c>
      <c r="V415" s="140"/>
      <c r="W415" s="153" t="s">
        <v>113</v>
      </c>
      <c r="X415" s="153" t="s">
        <v>129</v>
      </c>
      <c r="Y415" s="153" t="s">
        <v>84</v>
      </c>
      <c r="Z415" s="153" t="s">
        <v>82</v>
      </c>
      <c r="AA415" s="153" t="s">
        <v>83</v>
      </c>
      <c r="AB415" s="153" t="s">
        <v>85</v>
      </c>
      <c r="AC415" s="140"/>
      <c r="AD415" s="158" t="s">
        <v>78</v>
      </c>
      <c r="AE415" s="153" t="s">
        <v>137</v>
      </c>
    </row>
    <row r="416" spans="1:31" ht="409.5" thickBot="1">
      <c r="A416" s="167"/>
      <c r="B416" s="169"/>
      <c r="C416" s="154"/>
      <c r="D416" s="154"/>
      <c r="E416" s="154"/>
      <c r="F416" s="154"/>
      <c r="G416" s="154"/>
      <c r="H416" s="154"/>
      <c r="I416" s="154"/>
      <c r="J416" s="154"/>
      <c r="K416" s="141" t="s">
        <v>133</v>
      </c>
      <c r="L416" s="141" t="s">
        <v>143</v>
      </c>
      <c r="M416" s="154"/>
      <c r="N416" s="154"/>
      <c r="O416" s="154"/>
      <c r="P416" s="154"/>
      <c r="Q416" s="154"/>
      <c r="R416" s="154"/>
      <c r="S416" s="154"/>
      <c r="T416" s="154"/>
      <c r="U416" s="154"/>
      <c r="V416" s="141" t="s">
        <v>140</v>
      </c>
      <c r="W416" s="154"/>
      <c r="X416" s="154"/>
      <c r="Y416" s="154"/>
      <c r="Z416" s="154"/>
      <c r="AA416" s="154"/>
      <c r="AB416" s="154"/>
      <c r="AC416" s="141" t="s">
        <v>77</v>
      </c>
      <c r="AD416" s="159"/>
      <c r="AE416" s="154"/>
    </row>
    <row r="417" spans="1:31" ht="65.25" thickBot="1">
      <c r="A417" s="145">
        <v>1</v>
      </c>
      <c r="B417" s="79">
        <v>2</v>
      </c>
      <c r="C417" s="80" t="s">
        <v>54</v>
      </c>
      <c r="D417" s="81">
        <v>4</v>
      </c>
      <c r="E417" s="80">
        <v>5</v>
      </c>
      <c r="F417" s="80">
        <v>6</v>
      </c>
      <c r="G417" s="80">
        <v>7</v>
      </c>
      <c r="H417" s="80">
        <v>8</v>
      </c>
      <c r="I417" s="80" t="s">
        <v>55</v>
      </c>
      <c r="J417" s="81">
        <v>10</v>
      </c>
      <c r="K417" s="80">
        <v>11</v>
      </c>
      <c r="L417" s="108">
        <v>12</v>
      </c>
      <c r="M417" s="80">
        <v>13</v>
      </c>
      <c r="N417" s="80">
        <v>14</v>
      </c>
      <c r="O417" s="80">
        <v>15</v>
      </c>
      <c r="P417" s="80">
        <v>16</v>
      </c>
      <c r="Q417" s="143">
        <v>17</v>
      </c>
      <c r="R417" s="80">
        <v>18</v>
      </c>
      <c r="S417" s="143">
        <v>19</v>
      </c>
      <c r="T417" s="80">
        <v>20</v>
      </c>
      <c r="U417" s="143">
        <v>21</v>
      </c>
      <c r="V417" s="143">
        <v>22</v>
      </c>
      <c r="W417" s="80">
        <v>23</v>
      </c>
      <c r="X417" s="80">
        <v>24</v>
      </c>
      <c r="Y417" s="143">
        <v>25</v>
      </c>
      <c r="Z417" s="80">
        <v>26</v>
      </c>
      <c r="AA417" s="80">
        <v>27</v>
      </c>
      <c r="AB417" s="80">
        <v>28</v>
      </c>
      <c r="AC417" s="143">
        <v>29</v>
      </c>
      <c r="AD417" s="142">
        <v>30</v>
      </c>
      <c r="AE417" s="80">
        <v>32</v>
      </c>
    </row>
    <row r="418" spans="1:31" ht="65.25" thickBot="1">
      <c r="A418" s="150" t="s">
        <v>5</v>
      </c>
      <c r="B418" s="151"/>
      <c r="C418" s="151"/>
      <c r="D418" s="151"/>
      <c r="E418" s="151"/>
      <c r="F418" s="151"/>
      <c r="G418" s="151"/>
      <c r="H418" s="151"/>
      <c r="I418" s="151"/>
      <c r="J418" s="151"/>
      <c r="K418" s="151"/>
      <c r="L418" s="151"/>
      <c r="M418" s="151"/>
      <c r="N418" s="151"/>
      <c r="O418" s="151"/>
      <c r="P418" s="151"/>
      <c r="Q418" s="151"/>
      <c r="R418" s="151"/>
      <c r="S418" s="151"/>
      <c r="T418" s="151"/>
      <c r="U418" s="151"/>
      <c r="V418" s="151"/>
      <c r="W418" s="151"/>
      <c r="X418" s="151"/>
      <c r="Y418" s="151"/>
      <c r="Z418" s="151"/>
      <c r="AA418" s="151"/>
      <c r="AB418" s="151"/>
      <c r="AC418" s="151"/>
      <c r="AD418" s="151"/>
      <c r="AE418" s="152"/>
    </row>
    <row r="419" spans="1:31" ht="65.25" thickBot="1">
      <c r="A419" s="83">
        <v>14</v>
      </c>
      <c r="B419" s="25" t="s">
        <v>176</v>
      </c>
      <c r="C419" s="84"/>
      <c r="D419" s="86"/>
      <c r="E419" s="86"/>
      <c r="F419" s="86"/>
      <c r="G419" s="84">
        <v>28</v>
      </c>
      <c r="H419" s="86"/>
      <c r="I419" s="86"/>
      <c r="J419" s="120"/>
      <c r="K419" s="120"/>
      <c r="L419" s="120"/>
      <c r="M419" s="120"/>
      <c r="N419" s="86"/>
      <c r="O419" s="84"/>
      <c r="P419" s="87">
        <v>5</v>
      </c>
      <c r="Q419" s="84">
        <v>2</v>
      </c>
      <c r="R419" s="87"/>
      <c r="S419" s="84"/>
      <c r="T419" s="87">
        <v>136</v>
      </c>
      <c r="U419" s="84"/>
      <c r="V419" s="87"/>
      <c r="W419" s="84"/>
      <c r="X419" s="87"/>
      <c r="Y419" s="84"/>
      <c r="Z419" s="87"/>
      <c r="AA419" s="84"/>
      <c r="AB419" s="87"/>
      <c r="AC419" s="84"/>
      <c r="AD419" s="88"/>
      <c r="AE419" s="83"/>
    </row>
    <row r="420" spans="1:31" ht="65.25" thickBot="1">
      <c r="A420" s="83">
        <v>15</v>
      </c>
      <c r="B420" s="22" t="s">
        <v>224</v>
      </c>
      <c r="C420" s="84"/>
      <c r="D420" s="85"/>
      <c r="E420" s="85"/>
      <c r="F420" s="85"/>
      <c r="G420" s="85"/>
      <c r="H420" s="86"/>
      <c r="I420" s="86"/>
      <c r="J420" s="86"/>
      <c r="K420" s="86"/>
      <c r="L420" s="86"/>
      <c r="M420" s="86"/>
      <c r="N420" s="86"/>
      <c r="O420" s="87"/>
      <c r="P420" s="84">
        <v>11</v>
      </c>
      <c r="Q420" s="87"/>
      <c r="R420" s="84"/>
      <c r="S420" s="87"/>
      <c r="T420" s="84">
        <v>100</v>
      </c>
      <c r="U420" s="87"/>
      <c r="V420" s="83"/>
      <c r="W420" s="84"/>
      <c r="X420" s="83"/>
      <c r="Y420" s="87"/>
      <c r="Z420" s="84"/>
      <c r="AA420" s="84"/>
      <c r="AB420" s="87"/>
      <c r="AC420" s="83"/>
      <c r="AD420" s="88">
        <v>1.3</v>
      </c>
      <c r="AE420" s="84"/>
    </row>
    <row r="421" spans="1:31" ht="65.25" thickBot="1">
      <c r="A421" s="83">
        <v>16</v>
      </c>
      <c r="B421" s="22" t="s">
        <v>36</v>
      </c>
      <c r="C421" s="86">
        <v>25</v>
      </c>
      <c r="D421" s="85"/>
      <c r="E421" s="85"/>
      <c r="F421" s="85"/>
      <c r="G421" s="85"/>
      <c r="H421" s="86"/>
      <c r="I421" s="86"/>
      <c r="J421" s="86"/>
      <c r="K421" s="86"/>
      <c r="L421" s="86"/>
      <c r="M421" s="86"/>
      <c r="N421" s="86"/>
      <c r="O421" s="87"/>
      <c r="P421" s="84"/>
      <c r="Q421" s="84">
        <v>5</v>
      </c>
      <c r="R421" s="84"/>
      <c r="S421" s="87"/>
      <c r="T421" s="84"/>
      <c r="U421" s="87"/>
      <c r="V421" s="83"/>
      <c r="W421" s="84"/>
      <c r="X421" s="83"/>
      <c r="Y421" s="87"/>
      <c r="Z421" s="84"/>
      <c r="AA421" s="84"/>
      <c r="AB421" s="87"/>
      <c r="AC421" s="83"/>
      <c r="AD421" s="88"/>
      <c r="AE421" s="84"/>
    </row>
    <row r="422" spans="1:31" ht="65.25" thickBot="1">
      <c r="A422" s="83"/>
      <c r="B422" s="22" t="s">
        <v>6</v>
      </c>
      <c r="C422" s="84">
        <f>C419+C420+C421</f>
        <v>25</v>
      </c>
      <c r="D422" s="84">
        <f aca="true" t="shared" si="73" ref="D422:AE422">D419+D420+D421</f>
        <v>0</v>
      </c>
      <c r="E422" s="84">
        <f t="shared" si="73"/>
        <v>0</v>
      </c>
      <c r="F422" s="84">
        <f t="shared" si="73"/>
        <v>0</v>
      </c>
      <c r="G422" s="84">
        <f t="shared" si="73"/>
        <v>28</v>
      </c>
      <c r="H422" s="84">
        <f t="shared" si="73"/>
        <v>0</v>
      </c>
      <c r="I422" s="84">
        <f t="shared" si="73"/>
        <v>0</v>
      </c>
      <c r="J422" s="84">
        <f t="shared" si="73"/>
        <v>0</v>
      </c>
      <c r="K422" s="84">
        <f t="shared" si="73"/>
        <v>0</v>
      </c>
      <c r="L422" s="84">
        <f t="shared" si="73"/>
        <v>0</v>
      </c>
      <c r="M422" s="84">
        <f t="shared" si="73"/>
        <v>0</v>
      </c>
      <c r="N422" s="84">
        <f t="shared" si="73"/>
        <v>0</v>
      </c>
      <c r="O422" s="84">
        <f t="shared" si="73"/>
        <v>0</v>
      </c>
      <c r="P422" s="84">
        <f t="shared" si="73"/>
        <v>16</v>
      </c>
      <c r="Q422" s="84">
        <f t="shared" si="73"/>
        <v>7</v>
      </c>
      <c r="R422" s="84">
        <f t="shared" si="73"/>
        <v>0</v>
      </c>
      <c r="S422" s="84">
        <f t="shared" si="73"/>
        <v>0</v>
      </c>
      <c r="T422" s="84">
        <f t="shared" si="73"/>
        <v>236</v>
      </c>
      <c r="U422" s="84">
        <f t="shared" si="73"/>
        <v>0</v>
      </c>
      <c r="V422" s="84">
        <f t="shared" si="73"/>
        <v>0</v>
      </c>
      <c r="W422" s="84">
        <f t="shared" si="73"/>
        <v>0</v>
      </c>
      <c r="X422" s="84">
        <f t="shared" si="73"/>
        <v>0</v>
      </c>
      <c r="Y422" s="84">
        <f t="shared" si="73"/>
        <v>0</v>
      </c>
      <c r="Z422" s="84">
        <f t="shared" si="73"/>
        <v>0</v>
      </c>
      <c r="AA422" s="84">
        <f t="shared" si="73"/>
        <v>0</v>
      </c>
      <c r="AB422" s="84">
        <f t="shared" si="73"/>
        <v>0</v>
      </c>
      <c r="AC422" s="84">
        <f t="shared" si="73"/>
        <v>0</v>
      </c>
      <c r="AD422" s="84">
        <f t="shared" si="73"/>
        <v>1.3</v>
      </c>
      <c r="AE422" s="84">
        <f t="shared" si="73"/>
        <v>0</v>
      </c>
    </row>
    <row r="423" spans="1:31" ht="65.25" thickBot="1">
      <c r="A423" s="155" t="s">
        <v>53</v>
      </c>
      <c r="B423" s="156"/>
      <c r="C423" s="156"/>
      <c r="D423" s="156"/>
      <c r="E423" s="156"/>
      <c r="F423" s="156"/>
      <c r="G423" s="156"/>
      <c r="H423" s="156"/>
      <c r="I423" s="156"/>
      <c r="J423" s="156"/>
      <c r="K423" s="156"/>
      <c r="L423" s="156"/>
      <c r="M423" s="156"/>
      <c r="N423" s="156"/>
      <c r="O423" s="156"/>
      <c r="P423" s="156"/>
      <c r="Q423" s="156"/>
      <c r="R423" s="156"/>
      <c r="S423" s="156"/>
      <c r="T423" s="156"/>
      <c r="U423" s="156"/>
      <c r="V423" s="156"/>
      <c r="W423" s="156"/>
      <c r="X423" s="156"/>
      <c r="Y423" s="156"/>
      <c r="Z423" s="156"/>
      <c r="AA423" s="156"/>
      <c r="AB423" s="156"/>
      <c r="AC423" s="156"/>
      <c r="AD423" s="156"/>
      <c r="AE423" s="157"/>
    </row>
    <row r="424" spans="1:31" ht="65.25" thickBot="1">
      <c r="A424" s="83" t="s">
        <v>32</v>
      </c>
      <c r="B424" s="25" t="s">
        <v>182</v>
      </c>
      <c r="C424" s="84"/>
      <c r="D424" s="86"/>
      <c r="E424" s="86"/>
      <c r="F424" s="86"/>
      <c r="G424" s="86"/>
      <c r="H424" s="86"/>
      <c r="I424" s="86"/>
      <c r="J424" s="86"/>
      <c r="K424" s="86">
        <v>150</v>
      </c>
      <c r="L424" s="86"/>
      <c r="M424" s="86"/>
      <c r="N424" s="86"/>
      <c r="O424" s="87"/>
      <c r="P424" s="84"/>
      <c r="Q424" s="87"/>
      <c r="R424" s="84"/>
      <c r="S424" s="87"/>
      <c r="T424" s="84"/>
      <c r="U424" s="87"/>
      <c r="V424" s="84"/>
      <c r="W424" s="84"/>
      <c r="X424" s="87"/>
      <c r="Y424" s="84"/>
      <c r="Z424" s="84"/>
      <c r="AA424" s="87"/>
      <c r="AB424" s="84"/>
      <c r="AC424" s="87"/>
      <c r="AD424" s="88"/>
      <c r="AE424" s="83"/>
    </row>
    <row r="425" spans="1:31" ht="65.25" thickBot="1">
      <c r="A425" s="83"/>
      <c r="B425" s="22" t="s">
        <v>29</v>
      </c>
      <c r="C425" s="86">
        <f>SUM(C424)</f>
        <v>0</v>
      </c>
      <c r="D425" s="86">
        <f>SUM(D424)</f>
        <v>0</v>
      </c>
      <c r="E425" s="86">
        <f aca="true" t="shared" si="74" ref="E425:AD425">SUM(E424)</f>
        <v>0</v>
      </c>
      <c r="F425" s="86">
        <f t="shared" si="74"/>
        <v>0</v>
      </c>
      <c r="G425" s="86">
        <f t="shared" si="74"/>
        <v>0</v>
      </c>
      <c r="H425" s="86">
        <f t="shared" si="74"/>
        <v>0</v>
      </c>
      <c r="I425" s="86">
        <f t="shared" si="74"/>
        <v>0</v>
      </c>
      <c r="J425" s="86">
        <f t="shared" si="74"/>
        <v>0</v>
      </c>
      <c r="K425" s="86">
        <f t="shared" si="74"/>
        <v>150</v>
      </c>
      <c r="L425" s="86">
        <f t="shared" si="74"/>
        <v>0</v>
      </c>
      <c r="M425" s="86">
        <f t="shared" si="74"/>
        <v>0</v>
      </c>
      <c r="N425" s="86">
        <f t="shared" si="74"/>
        <v>0</v>
      </c>
      <c r="O425" s="86">
        <f t="shared" si="74"/>
        <v>0</v>
      </c>
      <c r="P425" s="86">
        <f t="shared" si="74"/>
        <v>0</v>
      </c>
      <c r="Q425" s="86">
        <f t="shared" si="74"/>
        <v>0</v>
      </c>
      <c r="R425" s="86">
        <f t="shared" si="74"/>
        <v>0</v>
      </c>
      <c r="S425" s="86">
        <f t="shared" si="74"/>
        <v>0</v>
      </c>
      <c r="T425" s="86">
        <f t="shared" si="74"/>
        <v>0</v>
      </c>
      <c r="U425" s="86">
        <f t="shared" si="74"/>
        <v>0</v>
      </c>
      <c r="V425" s="86">
        <f t="shared" si="74"/>
        <v>0</v>
      </c>
      <c r="W425" s="86">
        <f t="shared" si="74"/>
        <v>0</v>
      </c>
      <c r="X425" s="86">
        <f t="shared" si="74"/>
        <v>0</v>
      </c>
      <c r="Y425" s="86">
        <f t="shared" si="74"/>
        <v>0</v>
      </c>
      <c r="Z425" s="86">
        <f t="shared" si="74"/>
        <v>0</v>
      </c>
      <c r="AA425" s="86">
        <f t="shared" si="74"/>
        <v>0</v>
      </c>
      <c r="AB425" s="86">
        <f t="shared" si="74"/>
        <v>0</v>
      </c>
      <c r="AC425" s="86">
        <f t="shared" si="74"/>
        <v>0</v>
      </c>
      <c r="AD425" s="87">
        <f t="shared" si="74"/>
        <v>0</v>
      </c>
      <c r="AE425" s="83">
        <f>SUM(AE424)</f>
        <v>0</v>
      </c>
    </row>
    <row r="426" spans="1:31" ht="65.25" thickBot="1">
      <c r="A426" s="155" t="s">
        <v>31</v>
      </c>
      <c r="B426" s="156"/>
      <c r="C426" s="156"/>
      <c r="D426" s="156"/>
      <c r="E426" s="156"/>
      <c r="F426" s="156"/>
      <c r="G426" s="156"/>
      <c r="H426" s="156"/>
      <c r="I426" s="156"/>
      <c r="J426" s="156"/>
      <c r="K426" s="156"/>
      <c r="L426" s="156"/>
      <c r="M426" s="156"/>
      <c r="N426" s="156"/>
      <c r="O426" s="156"/>
      <c r="P426" s="156"/>
      <c r="Q426" s="156"/>
      <c r="R426" s="156"/>
      <c r="S426" s="156"/>
      <c r="T426" s="156"/>
      <c r="U426" s="156"/>
      <c r="V426" s="156"/>
      <c r="W426" s="156"/>
      <c r="X426" s="156"/>
      <c r="Y426" s="156"/>
      <c r="Z426" s="156"/>
      <c r="AA426" s="156"/>
      <c r="AB426" s="156"/>
      <c r="AC426" s="156"/>
      <c r="AD426" s="156"/>
      <c r="AE426" s="157"/>
    </row>
    <row r="427" spans="1:31" ht="129.75" thickBot="1">
      <c r="A427" s="84">
        <v>12</v>
      </c>
      <c r="B427" s="22" t="s">
        <v>227</v>
      </c>
      <c r="C427" s="84"/>
      <c r="D427" s="86"/>
      <c r="E427" s="86"/>
      <c r="F427" s="86"/>
      <c r="G427" s="86"/>
      <c r="H427" s="86"/>
      <c r="I427" s="86"/>
      <c r="J427" s="86">
        <v>59.9</v>
      </c>
      <c r="K427" s="86"/>
      <c r="L427" s="86"/>
      <c r="M427" s="86"/>
      <c r="N427" s="86"/>
      <c r="O427" s="87"/>
      <c r="P427" s="83">
        <v>2</v>
      </c>
      <c r="Q427" s="87"/>
      <c r="R427" s="83">
        <v>6</v>
      </c>
      <c r="S427" s="87"/>
      <c r="T427" s="83"/>
      <c r="U427" s="87"/>
      <c r="V427" s="84"/>
      <c r="W427" s="83"/>
      <c r="X427" s="87"/>
      <c r="Y427" s="84"/>
      <c r="Z427" s="83"/>
      <c r="AA427" s="87"/>
      <c r="AB427" s="83"/>
      <c r="AC427" s="84"/>
      <c r="AD427" s="87"/>
      <c r="AE427" s="80"/>
    </row>
    <row r="428" spans="1:31" ht="129.75" thickBot="1">
      <c r="A428" s="83">
        <v>30</v>
      </c>
      <c r="B428" s="22" t="s">
        <v>237</v>
      </c>
      <c r="C428" s="84"/>
      <c r="D428" s="86"/>
      <c r="E428" s="86">
        <v>19</v>
      </c>
      <c r="F428" s="86"/>
      <c r="G428" s="86"/>
      <c r="H428" s="86"/>
      <c r="I428" s="86"/>
      <c r="J428" s="86">
        <v>19</v>
      </c>
      <c r="K428" s="86"/>
      <c r="L428" s="86"/>
      <c r="M428" s="86"/>
      <c r="N428" s="86"/>
      <c r="O428" s="87"/>
      <c r="P428" s="83"/>
      <c r="Q428" s="87">
        <v>3</v>
      </c>
      <c r="R428" s="83"/>
      <c r="S428" s="87">
        <v>4</v>
      </c>
      <c r="T428" s="83"/>
      <c r="U428" s="87"/>
      <c r="V428" s="83"/>
      <c r="W428" s="83"/>
      <c r="X428" s="87">
        <v>25</v>
      </c>
      <c r="Y428" s="83"/>
      <c r="Z428" s="84"/>
      <c r="AA428" s="87"/>
      <c r="AB428" s="83"/>
      <c r="AC428" s="83"/>
      <c r="AD428" s="87"/>
      <c r="AE428" s="83"/>
    </row>
    <row r="429" spans="1:31" ht="65.25" thickBot="1">
      <c r="A429" s="83">
        <v>4</v>
      </c>
      <c r="B429" s="22" t="s">
        <v>215</v>
      </c>
      <c r="C429" s="84"/>
      <c r="D429" s="86"/>
      <c r="E429" s="86"/>
      <c r="F429" s="86"/>
      <c r="G429" s="86"/>
      <c r="H429" s="86"/>
      <c r="I429" s="86">
        <v>160</v>
      </c>
      <c r="J429" s="86">
        <v>47</v>
      </c>
      <c r="K429" s="86"/>
      <c r="L429" s="86"/>
      <c r="M429" s="86"/>
      <c r="N429" s="86"/>
      <c r="O429" s="87"/>
      <c r="P429" s="83"/>
      <c r="Q429" s="87"/>
      <c r="R429" s="83">
        <v>6</v>
      </c>
      <c r="S429" s="87"/>
      <c r="T429" s="83"/>
      <c r="U429" s="87"/>
      <c r="V429" s="83"/>
      <c r="W429" s="83">
        <v>63</v>
      </c>
      <c r="X429" s="87"/>
      <c r="Y429" s="83"/>
      <c r="Z429" s="84"/>
      <c r="AA429" s="87"/>
      <c r="AB429" s="83"/>
      <c r="AC429" s="83"/>
      <c r="AD429" s="87"/>
      <c r="AE429" s="83"/>
    </row>
    <row r="430" spans="1:31" ht="194.25" thickBot="1">
      <c r="A430" s="83">
        <v>20</v>
      </c>
      <c r="B430" s="22" t="s">
        <v>232</v>
      </c>
      <c r="C430" s="84"/>
      <c r="D430" s="85"/>
      <c r="E430" s="85"/>
      <c r="F430" s="85">
        <v>9.5</v>
      </c>
      <c r="G430" s="85"/>
      <c r="H430" s="86"/>
      <c r="I430" s="86"/>
      <c r="J430" s="86"/>
      <c r="K430" s="86"/>
      <c r="L430" s="86"/>
      <c r="M430" s="86"/>
      <c r="N430" s="86"/>
      <c r="O430" s="87"/>
      <c r="P430" s="84">
        <v>8</v>
      </c>
      <c r="Q430" s="87"/>
      <c r="R430" s="84"/>
      <c r="S430" s="87"/>
      <c r="T430" s="84"/>
      <c r="U430" s="87"/>
      <c r="V430" s="83"/>
      <c r="W430" s="84"/>
      <c r="X430" s="87"/>
      <c r="Y430" s="83"/>
      <c r="Z430" s="84"/>
      <c r="AA430" s="84"/>
      <c r="AB430" s="87"/>
      <c r="AC430" s="83"/>
      <c r="AD430" s="88"/>
      <c r="AE430" s="84"/>
    </row>
    <row r="431" spans="1:31" ht="129.75" thickBot="1">
      <c r="A431" s="83" t="s">
        <v>32</v>
      </c>
      <c r="B431" s="22" t="s">
        <v>56</v>
      </c>
      <c r="C431" s="84">
        <v>25</v>
      </c>
      <c r="D431" s="86"/>
      <c r="E431" s="86"/>
      <c r="F431" s="86"/>
      <c r="G431" s="86"/>
      <c r="H431" s="86"/>
      <c r="I431" s="86"/>
      <c r="J431" s="86"/>
      <c r="K431" s="86"/>
      <c r="L431" s="86"/>
      <c r="M431" s="86"/>
      <c r="N431" s="86"/>
      <c r="O431" s="86"/>
      <c r="P431" s="86"/>
      <c r="Q431" s="86"/>
      <c r="R431" s="86"/>
      <c r="S431" s="86"/>
      <c r="T431" s="86"/>
      <c r="U431" s="87"/>
      <c r="V431" s="83"/>
      <c r="W431" s="86"/>
      <c r="X431" s="87"/>
      <c r="Y431" s="83"/>
      <c r="Z431" s="86"/>
      <c r="AA431" s="86"/>
      <c r="AB431" s="86"/>
      <c r="AC431" s="86"/>
      <c r="AD431" s="87"/>
      <c r="AE431" s="83"/>
    </row>
    <row r="432" spans="1:31" ht="129.75" thickBot="1">
      <c r="A432" s="83" t="s">
        <v>32</v>
      </c>
      <c r="B432" s="22" t="s">
        <v>58</v>
      </c>
      <c r="C432" s="84"/>
      <c r="D432" s="86">
        <v>50</v>
      </c>
      <c r="E432" s="86"/>
      <c r="F432" s="86"/>
      <c r="G432" s="86"/>
      <c r="H432" s="86"/>
      <c r="I432" s="86"/>
      <c r="J432" s="86"/>
      <c r="K432" s="86"/>
      <c r="L432" s="86"/>
      <c r="M432" s="86"/>
      <c r="N432" s="86"/>
      <c r="O432" s="86"/>
      <c r="P432" s="86"/>
      <c r="Q432" s="86"/>
      <c r="R432" s="86"/>
      <c r="S432" s="86"/>
      <c r="T432" s="86"/>
      <c r="U432" s="86"/>
      <c r="V432" s="86"/>
      <c r="W432" s="87"/>
      <c r="X432" s="83"/>
      <c r="Y432" s="86"/>
      <c r="Z432" s="86"/>
      <c r="AA432" s="86"/>
      <c r="AB432" s="86"/>
      <c r="AC432" s="86"/>
      <c r="AD432" s="87"/>
      <c r="AE432" s="83"/>
    </row>
    <row r="433" spans="1:31" ht="65.25" thickBot="1">
      <c r="A433" s="83"/>
      <c r="B433" s="22" t="s">
        <v>6</v>
      </c>
      <c r="C433" s="84">
        <f aca="true" t="shared" si="75" ref="C433:AE433">SUM(C427:C432)</f>
        <v>25</v>
      </c>
      <c r="D433" s="84">
        <f t="shared" si="75"/>
        <v>50</v>
      </c>
      <c r="E433" s="84">
        <f t="shared" si="75"/>
        <v>19</v>
      </c>
      <c r="F433" s="84">
        <f t="shared" si="75"/>
        <v>9.5</v>
      </c>
      <c r="G433" s="84">
        <f t="shared" si="75"/>
        <v>0</v>
      </c>
      <c r="H433" s="84">
        <f t="shared" si="75"/>
        <v>0</v>
      </c>
      <c r="I433" s="84">
        <f t="shared" si="75"/>
        <v>160</v>
      </c>
      <c r="J433" s="84">
        <f t="shared" si="75"/>
        <v>125.9</v>
      </c>
      <c r="K433" s="84">
        <f t="shared" si="75"/>
        <v>0</v>
      </c>
      <c r="L433" s="84">
        <f t="shared" si="75"/>
        <v>0</v>
      </c>
      <c r="M433" s="84">
        <f t="shared" si="75"/>
        <v>0</v>
      </c>
      <c r="N433" s="84">
        <f t="shared" si="75"/>
        <v>0</v>
      </c>
      <c r="O433" s="84">
        <f t="shared" si="75"/>
        <v>0</v>
      </c>
      <c r="P433" s="84">
        <f t="shared" si="75"/>
        <v>10</v>
      </c>
      <c r="Q433" s="84">
        <f t="shared" si="75"/>
        <v>3</v>
      </c>
      <c r="R433" s="84">
        <f t="shared" si="75"/>
        <v>12</v>
      </c>
      <c r="S433" s="84">
        <f t="shared" si="75"/>
        <v>4</v>
      </c>
      <c r="T433" s="84">
        <f t="shared" si="75"/>
        <v>0</v>
      </c>
      <c r="U433" s="84">
        <f t="shared" si="75"/>
        <v>0</v>
      </c>
      <c r="V433" s="84">
        <f t="shared" si="75"/>
        <v>0</v>
      </c>
      <c r="W433" s="84">
        <f t="shared" si="75"/>
        <v>63</v>
      </c>
      <c r="X433" s="84">
        <f t="shared" si="75"/>
        <v>25</v>
      </c>
      <c r="Y433" s="84">
        <f t="shared" si="75"/>
        <v>0</v>
      </c>
      <c r="Z433" s="84">
        <f t="shared" si="75"/>
        <v>0</v>
      </c>
      <c r="AA433" s="84">
        <f t="shared" si="75"/>
        <v>0</v>
      </c>
      <c r="AB433" s="84">
        <f t="shared" si="75"/>
        <v>0</v>
      </c>
      <c r="AC433" s="84">
        <f t="shared" si="75"/>
        <v>0</v>
      </c>
      <c r="AD433" s="88">
        <f t="shared" si="75"/>
        <v>0</v>
      </c>
      <c r="AE433" s="84">
        <f t="shared" si="75"/>
        <v>0</v>
      </c>
    </row>
    <row r="434" spans="1:31" ht="65.25" thickBot="1">
      <c r="A434" s="150" t="s">
        <v>145</v>
      </c>
      <c r="B434" s="151"/>
      <c r="C434" s="151"/>
      <c r="D434" s="151"/>
      <c r="E434" s="151"/>
      <c r="F434" s="151"/>
      <c r="G434" s="151"/>
      <c r="H434" s="151"/>
      <c r="I434" s="151"/>
      <c r="J434" s="151"/>
      <c r="K434" s="151"/>
      <c r="L434" s="151"/>
      <c r="M434" s="151"/>
      <c r="N434" s="151"/>
      <c r="O434" s="151"/>
      <c r="P434" s="151"/>
      <c r="Q434" s="151"/>
      <c r="R434" s="151"/>
      <c r="S434" s="151"/>
      <c r="T434" s="151"/>
      <c r="U434" s="151"/>
      <c r="V434" s="151"/>
      <c r="W434" s="151"/>
      <c r="X434" s="151"/>
      <c r="Y434" s="151"/>
      <c r="Z434" s="151"/>
      <c r="AA434" s="151"/>
      <c r="AB434" s="151"/>
      <c r="AC434" s="151"/>
      <c r="AD434" s="151"/>
      <c r="AE434" s="152"/>
    </row>
    <row r="435" spans="1:31" ht="129.75" thickBot="1">
      <c r="A435" s="92">
        <v>21.1</v>
      </c>
      <c r="B435" s="27" t="s">
        <v>172</v>
      </c>
      <c r="C435" s="83"/>
      <c r="D435" s="86"/>
      <c r="E435" s="83"/>
      <c r="F435" s="83"/>
      <c r="G435" s="83"/>
      <c r="H435" s="86"/>
      <c r="I435" s="86"/>
      <c r="J435" s="86"/>
      <c r="K435" s="86"/>
      <c r="L435" s="86"/>
      <c r="M435" s="86"/>
      <c r="N435" s="86"/>
      <c r="O435" s="87"/>
      <c r="P435" s="84"/>
      <c r="Q435" s="87"/>
      <c r="R435" s="84"/>
      <c r="S435" s="87"/>
      <c r="T435" s="84">
        <v>185</v>
      </c>
      <c r="U435" s="87"/>
      <c r="V435" s="84"/>
      <c r="W435" s="84"/>
      <c r="X435" s="87"/>
      <c r="Y435" s="84"/>
      <c r="Z435" s="84"/>
      <c r="AA435" s="87"/>
      <c r="AB435" s="84"/>
      <c r="AC435" s="87"/>
      <c r="AD435" s="88"/>
      <c r="AE435" s="83"/>
    </row>
    <row r="436" spans="1:31" ht="194.25" thickBot="1">
      <c r="A436" s="83">
        <v>24</v>
      </c>
      <c r="B436" s="22" t="s">
        <v>105</v>
      </c>
      <c r="C436" s="84"/>
      <c r="D436" s="86"/>
      <c r="E436" s="86"/>
      <c r="F436" s="86"/>
      <c r="G436" s="86"/>
      <c r="H436" s="86"/>
      <c r="I436" s="86"/>
      <c r="J436" s="86"/>
      <c r="K436" s="86"/>
      <c r="L436" s="86"/>
      <c r="M436" s="86"/>
      <c r="N436" s="86"/>
      <c r="O436" s="86">
        <v>75</v>
      </c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7"/>
      <c r="AE436" s="83"/>
    </row>
    <row r="437" spans="1:31" ht="65.25" thickBot="1">
      <c r="A437" s="84"/>
      <c r="B437" s="22" t="s">
        <v>29</v>
      </c>
      <c r="C437" s="84">
        <f>C435+C436</f>
        <v>0</v>
      </c>
      <c r="D437" s="84">
        <f aca="true" t="shared" si="76" ref="D437:AE437">D435+D436</f>
        <v>0</v>
      </c>
      <c r="E437" s="84">
        <f t="shared" si="76"/>
        <v>0</v>
      </c>
      <c r="F437" s="84">
        <f t="shared" si="76"/>
        <v>0</v>
      </c>
      <c r="G437" s="84">
        <f t="shared" si="76"/>
        <v>0</v>
      </c>
      <c r="H437" s="84">
        <f t="shared" si="76"/>
        <v>0</v>
      </c>
      <c r="I437" s="84">
        <f t="shared" si="76"/>
        <v>0</v>
      </c>
      <c r="J437" s="84">
        <f t="shared" si="76"/>
        <v>0</v>
      </c>
      <c r="K437" s="84">
        <f t="shared" si="76"/>
        <v>0</v>
      </c>
      <c r="L437" s="84">
        <f t="shared" si="76"/>
        <v>0</v>
      </c>
      <c r="M437" s="84">
        <f t="shared" si="76"/>
        <v>0</v>
      </c>
      <c r="N437" s="84">
        <f t="shared" si="76"/>
        <v>0</v>
      </c>
      <c r="O437" s="84">
        <f t="shared" si="76"/>
        <v>75</v>
      </c>
      <c r="P437" s="84">
        <f t="shared" si="76"/>
        <v>0</v>
      </c>
      <c r="Q437" s="84">
        <f t="shared" si="76"/>
        <v>0</v>
      </c>
      <c r="R437" s="84">
        <f t="shared" si="76"/>
        <v>0</v>
      </c>
      <c r="S437" s="84">
        <f t="shared" si="76"/>
        <v>0</v>
      </c>
      <c r="T437" s="84">
        <f t="shared" si="76"/>
        <v>185</v>
      </c>
      <c r="U437" s="84">
        <f t="shared" si="76"/>
        <v>0</v>
      </c>
      <c r="V437" s="84">
        <f t="shared" si="76"/>
        <v>0</v>
      </c>
      <c r="W437" s="84">
        <f t="shared" si="76"/>
        <v>0</v>
      </c>
      <c r="X437" s="84">
        <f t="shared" si="76"/>
        <v>0</v>
      </c>
      <c r="Y437" s="84">
        <f t="shared" si="76"/>
        <v>0</v>
      </c>
      <c r="Z437" s="84">
        <f t="shared" si="76"/>
        <v>0</v>
      </c>
      <c r="AA437" s="84">
        <f t="shared" si="76"/>
        <v>0</v>
      </c>
      <c r="AB437" s="84">
        <f t="shared" si="76"/>
        <v>0</v>
      </c>
      <c r="AC437" s="84">
        <f t="shared" si="76"/>
        <v>0</v>
      </c>
      <c r="AD437" s="84">
        <f t="shared" si="76"/>
        <v>0</v>
      </c>
      <c r="AE437" s="84">
        <f t="shared" si="76"/>
        <v>0</v>
      </c>
    </row>
    <row r="438" spans="1:32" ht="86.25" customHeight="1" thickBot="1">
      <c r="A438" s="155" t="s">
        <v>144</v>
      </c>
      <c r="B438" s="156"/>
      <c r="C438" s="156"/>
      <c r="D438" s="156"/>
      <c r="E438" s="156"/>
      <c r="F438" s="156"/>
      <c r="G438" s="156"/>
      <c r="H438" s="156"/>
      <c r="I438" s="156"/>
      <c r="J438" s="156"/>
      <c r="K438" s="156"/>
      <c r="L438" s="156"/>
      <c r="M438" s="156"/>
      <c r="N438" s="156"/>
      <c r="O438" s="156"/>
      <c r="P438" s="156"/>
      <c r="Q438" s="156"/>
      <c r="R438" s="156"/>
      <c r="S438" s="156"/>
      <c r="T438" s="156"/>
      <c r="U438" s="156"/>
      <c r="V438" s="156"/>
      <c r="W438" s="156"/>
      <c r="X438" s="156"/>
      <c r="Y438" s="156"/>
      <c r="Z438" s="156"/>
      <c r="AA438" s="156"/>
      <c r="AB438" s="156"/>
      <c r="AC438" s="156"/>
      <c r="AD438" s="156"/>
      <c r="AE438" s="157"/>
      <c r="AF438" s="101"/>
    </row>
    <row r="439" spans="1:31" ht="129.75" thickBot="1">
      <c r="A439" s="94">
        <v>49</v>
      </c>
      <c r="B439" s="75" t="s">
        <v>166</v>
      </c>
      <c r="C439" s="95"/>
      <c r="D439" s="96"/>
      <c r="E439" s="96"/>
      <c r="F439" s="96"/>
      <c r="G439" s="96">
        <v>15</v>
      </c>
      <c r="H439" s="96"/>
      <c r="I439" s="106"/>
      <c r="J439" s="106"/>
      <c r="K439" s="106"/>
      <c r="L439" s="106"/>
      <c r="M439" s="106"/>
      <c r="N439" s="106"/>
      <c r="O439" s="106"/>
      <c r="P439" s="106">
        <v>15</v>
      </c>
      <c r="Q439" s="106">
        <v>5</v>
      </c>
      <c r="R439" s="106"/>
      <c r="S439" s="106">
        <v>18</v>
      </c>
      <c r="T439" s="106">
        <v>35</v>
      </c>
      <c r="U439" s="106">
        <v>171</v>
      </c>
      <c r="V439" s="106"/>
      <c r="W439" s="106"/>
      <c r="X439" s="106"/>
      <c r="Y439" s="106"/>
      <c r="Z439" s="106"/>
      <c r="AA439" s="106"/>
      <c r="AB439" s="106"/>
      <c r="AC439" s="106"/>
      <c r="AD439" s="107"/>
      <c r="AE439" s="95"/>
    </row>
    <row r="440" spans="1:31" ht="65.25" thickBot="1">
      <c r="A440" s="84">
        <v>13</v>
      </c>
      <c r="B440" s="23" t="s">
        <v>7</v>
      </c>
      <c r="C440" s="84"/>
      <c r="D440" s="85"/>
      <c r="E440" s="85"/>
      <c r="F440" s="85"/>
      <c r="G440" s="85"/>
      <c r="H440" s="86"/>
      <c r="I440" s="86"/>
      <c r="J440" s="86"/>
      <c r="K440" s="86"/>
      <c r="L440" s="86"/>
      <c r="M440" s="86"/>
      <c r="N440" s="86"/>
      <c r="O440" s="87"/>
      <c r="P440" s="84">
        <v>12</v>
      </c>
      <c r="Q440" s="87"/>
      <c r="R440" s="84"/>
      <c r="S440" s="87"/>
      <c r="T440" s="84"/>
      <c r="U440" s="84"/>
      <c r="V440" s="87"/>
      <c r="W440" s="84"/>
      <c r="X440" s="87"/>
      <c r="Y440" s="84"/>
      <c r="Z440" s="84"/>
      <c r="AA440" s="87"/>
      <c r="AB440" s="84">
        <v>0.58</v>
      </c>
      <c r="AC440" s="84"/>
      <c r="AD440" s="87"/>
      <c r="AE440" s="83"/>
    </row>
    <row r="441" spans="1:31" ht="129.75" thickBot="1">
      <c r="A441" s="83">
        <v>69</v>
      </c>
      <c r="B441" s="22" t="s">
        <v>106</v>
      </c>
      <c r="C441" s="84"/>
      <c r="D441" s="86"/>
      <c r="E441" s="86"/>
      <c r="F441" s="86"/>
      <c r="G441" s="86"/>
      <c r="H441" s="86"/>
      <c r="I441" s="86"/>
      <c r="J441" s="86"/>
      <c r="K441" s="86"/>
      <c r="L441" s="86"/>
      <c r="M441" s="86">
        <v>85</v>
      </c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7"/>
      <c r="AE441" s="84"/>
    </row>
    <row r="442" spans="1:31" ht="65.25" thickBot="1">
      <c r="A442" s="83"/>
      <c r="B442" s="22" t="s">
        <v>6</v>
      </c>
      <c r="C442" s="84">
        <f>C439+C440+C441</f>
        <v>0</v>
      </c>
      <c r="D442" s="84">
        <f aca="true" t="shared" si="77" ref="D442:AE442">D439+D440+D441</f>
        <v>0</v>
      </c>
      <c r="E442" s="84">
        <f t="shared" si="77"/>
        <v>0</v>
      </c>
      <c r="F442" s="84">
        <f t="shared" si="77"/>
        <v>0</v>
      </c>
      <c r="G442" s="84">
        <f t="shared" si="77"/>
        <v>15</v>
      </c>
      <c r="H442" s="84">
        <f t="shared" si="77"/>
        <v>0</v>
      </c>
      <c r="I442" s="84">
        <f t="shared" si="77"/>
        <v>0</v>
      </c>
      <c r="J442" s="84">
        <f t="shared" si="77"/>
        <v>0</v>
      </c>
      <c r="K442" s="84">
        <f t="shared" si="77"/>
        <v>0</v>
      </c>
      <c r="L442" s="84">
        <f t="shared" si="77"/>
        <v>0</v>
      </c>
      <c r="M442" s="84">
        <f t="shared" si="77"/>
        <v>85</v>
      </c>
      <c r="N442" s="84">
        <f t="shared" si="77"/>
        <v>0</v>
      </c>
      <c r="O442" s="84">
        <f t="shared" si="77"/>
        <v>0</v>
      </c>
      <c r="P442" s="84">
        <f t="shared" si="77"/>
        <v>27</v>
      </c>
      <c r="Q442" s="84">
        <f t="shared" si="77"/>
        <v>5</v>
      </c>
      <c r="R442" s="84">
        <f t="shared" si="77"/>
        <v>0</v>
      </c>
      <c r="S442" s="84">
        <f t="shared" si="77"/>
        <v>18</v>
      </c>
      <c r="T442" s="84">
        <f t="shared" si="77"/>
        <v>35</v>
      </c>
      <c r="U442" s="84">
        <f t="shared" si="77"/>
        <v>171</v>
      </c>
      <c r="V442" s="84">
        <f t="shared" si="77"/>
        <v>0</v>
      </c>
      <c r="W442" s="84">
        <f t="shared" si="77"/>
        <v>0</v>
      </c>
      <c r="X442" s="84">
        <f t="shared" si="77"/>
        <v>0</v>
      </c>
      <c r="Y442" s="84">
        <f t="shared" si="77"/>
        <v>0</v>
      </c>
      <c r="Z442" s="84">
        <f t="shared" si="77"/>
        <v>0</v>
      </c>
      <c r="AA442" s="84">
        <f t="shared" si="77"/>
        <v>0</v>
      </c>
      <c r="AB442" s="84">
        <f t="shared" si="77"/>
        <v>0.58</v>
      </c>
      <c r="AC442" s="84">
        <f t="shared" si="77"/>
        <v>0</v>
      </c>
      <c r="AD442" s="84">
        <f t="shared" si="77"/>
        <v>0</v>
      </c>
      <c r="AE442" s="84">
        <f t="shared" si="77"/>
        <v>0</v>
      </c>
    </row>
    <row r="443" spans="1:31" ht="194.25" thickBot="1">
      <c r="A443" s="145"/>
      <c r="B443" s="22" t="s">
        <v>150</v>
      </c>
      <c r="C443" s="84"/>
      <c r="D443" s="84"/>
      <c r="E443" s="84"/>
      <c r="F443" s="84"/>
      <c r="G443" s="84"/>
      <c r="H443" s="84"/>
      <c r="I443" s="84"/>
      <c r="J443" s="84"/>
      <c r="K443" s="84"/>
      <c r="L443" s="84"/>
      <c r="M443" s="84"/>
      <c r="N443" s="84"/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  <c r="AB443" s="84"/>
      <c r="AC443" s="84"/>
      <c r="AD443" s="88"/>
      <c r="AE443" s="84"/>
    </row>
    <row r="444" spans="1:31" ht="65.25" thickBot="1">
      <c r="A444" s="83"/>
      <c r="B444" s="93" t="s">
        <v>10</v>
      </c>
      <c r="C444" s="84">
        <f aca="true" t="shared" si="78" ref="C444:AE444">C422+C425+C433+C437+C442</f>
        <v>50</v>
      </c>
      <c r="D444" s="84">
        <f t="shared" si="78"/>
        <v>50</v>
      </c>
      <c r="E444" s="84">
        <f t="shared" si="78"/>
        <v>19</v>
      </c>
      <c r="F444" s="84">
        <f t="shared" si="78"/>
        <v>9.5</v>
      </c>
      <c r="G444" s="84">
        <f t="shared" si="78"/>
        <v>43</v>
      </c>
      <c r="H444" s="84">
        <f t="shared" si="78"/>
        <v>0</v>
      </c>
      <c r="I444" s="84">
        <f t="shared" si="78"/>
        <v>160</v>
      </c>
      <c r="J444" s="84">
        <f t="shared" si="78"/>
        <v>125.9</v>
      </c>
      <c r="K444" s="84">
        <f t="shared" si="78"/>
        <v>150</v>
      </c>
      <c r="L444" s="84">
        <f t="shared" si="78"/>
        <v>0</v>
      </c>
      <c r="M444" s="84">
        <f t="shared" si="78"/>
        <v>85</v>
      </c>
      <c r="N444" s="84">
        <f t="shared" si="78"/>
        <v>0</v>
      </c>
      <c r="O444" s="84">
        <f t="shared" si="78"/>
        <v>75</v>
      </c>
      <c r="P444" s="84">
        <f t="shared" si="78"/>
        <v>53</v>
      </c>
      <c r="Q444" s="84">
        <f t="shared" si="78"/>
        <v>15</v>
      </c>
      <c r="R444" s="84">
        <f t="shared" si="78"/>
        <v>12</v>
      </c>
      <c r="S444" s="84">
        <f t="shared" si="78"/>
        <v>22</v>
      </c>
      <c r="T444" s="84">
        <f t="shared" si="78"/>
        <v>456</v>
      </c>
      <c r="U444" s="84">
        <f t="shared" si="78"/>
        <v>171</v>
      </c>
      <c r="V444" s="84">
        <f t="shared" si="78"/>
        <v>0</v>
      </c>
      <c r="W444" s="84">
        <f t="shared" si="78"/>
        <v>63</v>
      </c>
      <c r="X444" s="84">
        <f t="shared" si="78"/>
        <v>25</v>
      </c>
      <c r="Y444" s="84">
        <f t="shared" si="78"/>
        <v>0</v>
      </c>
      <c r="Z444" s="84">
        <f t="shared" si="78"/>
        <v>0</v>
      </c>
      <c r="AA444" s="84">
        <f t="shared" si="78"/>
        <v>0</v>
      </c>
      <c r="AB444" s="84">
        <f t="shared" si="78"/>
        <v>0.58</v>
      </c>
      <c r="AC444" s="84">
        <f t="shared" si="78"/>
        <v>0</v>
      </c>
      <c r="AD444" s="84">
        <f t="shared" si="78"/>
        <v>1.3</v>
      </c>
      <c r="AE444" s="84">
        <f t="shared" si="78"/>
        <v>0</v>
      </c>
    </row>
    <row r="445" spans="1:31" ht="74.25" customHeight="1" thickBot="1">
      <c r="A445" s="150" t="s">
        <v>40</v>
      </c>
      <c r="B445" s="151"/>
      <c r="C445" s="151"/>
      <c r="D445" s="151"/>
      <c r="E445" s="151"/>
      <c r="F445" s="151"/>
      <c r="G445" s="151"/>
      <c r="H445" s="151"/>
      <c r="I445" s="151"/>
      <c r="J445" s="151"/>
      <c r="K445" s="151"/>
      <c r="L445" s="151"/>
      <c r="M445" s="151"/>
      <c r="N445" s="151"/>
      <c r="O445" s="151"/>
      <c r="P445" s="151"/>
      <c r="Q445" s="151"/>
      <c r="R445" s="151"/>
      <c r="S445" s="151"/>
      <c r="T445" s="151"/>
      <c r="U445" s="151"/>
      <c r="V445" s="151"/>
      <c r="W445" s="151"/>
      <c r="X445" s="151"/>
      <c r="Y445" s="151"/>
      <c r="Z445" s="151"/>
      <c r="AA445" s="151"/>
      <c r="AB445" s="151"/>
      <c r="AC445" s="151"/>
      <c r="AD445" s="151"/>
      <c r="AE445" s="152"/>
    </row>
    <row r="446" spans="1:32" ht="83.25" customHeight="1" thickBot="1">
      <c r="A446" s="150" t="s">
        <v>90</v>
      </c>
      <c r="B446" s="151"/>
      <c r="C446" s="151"/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/>
      <c r="W446" s="151"/>
      <c r="X446" s="151"/>
      <c r="Y446" s="151"/>
      <c r="Z446" s="151"/>
      <c r="AA446" s="151"/>
      <c r="AB446" s="151"/>
      <c r="AC446" s="151"/>
      <c r="AD446" s="151"/>
      <c r="AE446" s="152"/>
      <c r="AF446" s="82"/>
    </row>
    <row r="447" spans="1:35" ht="46.5" customHeight="1">
      <c r="A447" s="166" t="s">
        <v>30</v>
      </c>
      <c r="B447" s="168" t="s">
        <v>23</v>
      </c>
      <c r="C447" s="153" t="s">
        <v>116</v>
      </c>
      <c r="D447" s="153" t="s">
        <v>117</v>
      </c>
      <c r="E447" s="153" t="s">
        <v>130</v>
      </c>
      <c r="F447" s="153" t="s">
        <v>119</v>
      </c>
      <c r="G447" s="153" t="s">
        <v>131</v>
      </c>
      <c r="H447" s="153" t="s">
        <v>132</v>
      </c>
      <c r="I447" s="153" t="s">
        <v>110</v>
      </c>
      <c r="J447" s="153" t="s">
        <v>257</v>
      </c>
      <c r="K447" s="140"/>
      <c r="L447" s="140"/>
      <c r="M447" s="153" t="s">
        <v>142</v>
      </c>
      <c r="N447" s="153" t="s">
        <v>79</v>
      </c>
      <c r="O447" s="153" t="s">
        <v>139</v>
      </c>
      <c r="P447" s="153" t="s">
        <v>80</v>
      </c>
      <c r="Q447" s="153" t="s">
        <v>124</v>
      </c>
      <c r="R447" s="153" t="s">
        <v>81</v>
      </c>
      <c r="S447" s="153" t="s">
        <v>134</v>
      </c>
      <c r="T447" s="153" t="s">
        <v>135</v>
      </c>
      <c r="U447" s="153" t="s">
        <v>136</v>
      </c>
      <c r="V447" s="140"/>
      <c r="W447" s="153" t="s">
        <v>113</v>
      </c>
      <c r="X447" s="153" t="s">
        <v>129</v>
      </c>
      <c r="Y447" s="153" t="s">
        <v>84</v>
      </c>
      <c r="Z447" s="153" t="s">
        <v>82</v>
      </c>
      <c r="AA447" s="153" t="s">
        <v>83</v>
      </c>
      <c r="AB447" s="153" t="s">
        <v>85</v>
      </c>
      <c r="AC447" s="140"/>
      <c r="AD447" s="158" t="s">
        <v>78</v>
      </c>
      <c r="AE447" s="153" t="s">
        <v>137</v>
      </c>
      <c r="AG447" s="82"/>
      <c r="AH447" s="82"/>
      <c r="AI447" s="82"/>
    </row>
    <row r="448" spans="1:31" ht="409.5" thickBot="1">
      <c r="A448" s="167"/>
      <c r="B448" s="169"/>
      <c r="C448" s="154"/>
      <c r="D448" s="154"/>
      <c r="E448" s="154"/>
      <c r="F448" s="154"/>
      <c r="G448" s="154"/>
      <c r="H448" s="154"/>
      <c r="I448" s="154"/>
      <c r="J448" s="154"/>
      <c r="K448" s="141" t="s">
        <v>133</v>
      </c>
      <c r="L448" s="141" t="s">
        <v>143</v>
      </c>
      <c r="M448" s="154"/>
      <c r="N448" s="154"/>
      <c r="O448" s="154"/>
      <c r="P448" s="154"/>
      <c r="Q448" s="154"/>
      <c r="R448" s="154"/>
      <c r="S448" s="154"/>
      <c r="T448" s="154"/>
      <c r="U448" s="154"/>
      <c r="V448" s="141" t="s">
        <v>140</v>
      </c>
      <c r="W448" s="154"/>
      <c r="X448" s="154"/>
      <c r="Y448" s="154"/>
      <c r="Z448" s="154"/>
      <c r="AA448" s="154"/>
      <c r="AB448" s="154"/>
      <c r="AC448" s="141" t="s">
        <v>77</v>
      </c>
      <c r="AD448" s="159"/>
      <c r="AE448" s="154"/>
    </row>
    <row r="449" spans="1:31" ht="65.25" thickBot="1">
      <c r="A449" s="145">
        <v>1</v>
      </c>
      <c r="B449" s="79">
        <v>2</v>
      </c>
      <c r="C449" s="80" t="s">
        <v>54</v>
      </c>
      <c r="D449" s="81">
        <v>4</v>
      </c>
      <c r="E449" s="80">
        <v>5</v>
      </c>
      <c r="F449" s="80">
        <v>6</v>
      </c>
      <c r="G449" s="80">
        <v>7</v>
      </c>
      <c r="H449" s="80">
        <v>8</v>
      </c>
      <c r="I449" s="80" t="s">
        <v>55</v>
      </c>
      <c r="J449" s="81">
        <v>10</v>
      </c>
      <c r="K449" s="80">
        <v>11</v>
      </c>
      <c r="L449" s="108">
        <v>12</v>
      </c>
      <c r="M449" s="80">
        <v>13</v>
      </c>
      <c r="N449" s="80">
        <v>14</v>
      </c>
      <c r="O449" s="80">
        <v>15</v>
      </c>
      <c r="P449" s="80">
        <v>16</v>
      </c>
      <c r="Q449" s="143">
        <v>17</v>
      </c>
      <c r="R449" s="80">
        <v>18</v>
      </c>
      <c r="S449" s="143">
        <v>19</v>
      </c>
      <c r="T449" s="80">
        <v>20</v>
      </c>
      <c r="U449" s="143">
        <v>21</v>
      </c>
      <c r="V449" s="143">
        <v>22</v>
      </c>
      <c r="W449" s="80">
        <v>23</v>
      </c>
      <c r="X449" s="80">
        <v>24</v>
      </c>
      <c r="Y449" s="143">
        <v>25</v>
      </c>
      <c r="Z449" s="80">
        <v>26</v>
      </c>
      <c r="AA449" s="80">
        <v>27</v>
      </c>
      <c r="AB449" s="80">
        <v>28</v>
      </c>
      <c r="AC449" s="143">
        <v>29</v>
      </c>
      <c r="AD449" s="142">
        <v>30</v>
      </c>
      <c r="AE449" s="80">
        <v>32</v>
      </c>
    </row>
    <row r="450" spans="1:31" ht="65.25" thickBot="1">
      <c r="A450" s="150" t="s">
        <v>5</v>
      </c>
      <c r="B450" s="151"/>
      <c r="C450" s="151"/>
      <c r="D450" s="151"/>
      <c r="E450" s="151"/>
      <c r="F450" s="151"/>
      <c r="G450" s="151"/>
      <c r="H450" s="151"/>
      <c r="I450" s="151"/>
      <c r="J450" s="151"/>
      <c r="K450" s="151"/>
      <c r="L450" s="151"/>
      <c r="M450" s="151"/>
      <c r="N450" s="151"/>
      <c r="O450" s="151"/>
      <c r="P450" s="151"/>
      <c r="Q450" s="151"/>
      <c r="R450" s="151"/>
      <c r="S450" s="151"/>
      <c r="T450" s="151"/>
      <c r="U450" s="151"/>
      <c r="V450" s="151"/>
      <c r="W450" s="151"/>
      <c r="X450" s="151"/>
      <c r="Y450" s="151"/>
      <c r="Z450" s="151"/>
      <c r="AA450" s="151"/>
      <c r="AB450" s="151"/>
      <c r="AC450" s="151"/>
      <c r="AD450" s="151"/>
      <c r="AE450" s="152"/>
    </row>
    <row r="451" spans="1:31" ht="107.25" customHeight="1" thickBot="1">
      <c r="A451" s="83">
        <v>1</v>
      </c>
      <c r="B451" s="25" t="s">
        <v>42</v>
      </c>
      <c r="C451" s="84"/>
      <c r="D451" s="86"/>
      <c r="E451" s="86"/>
      <c r="F451" s="86"/>
      <c r="G451" s="86">
        <v>11</v>
      </c>
      <c r="H451" s="86"/>
      <c r="I451" s="86"/>
      <c r="J451" s="86"/>
      <c r="K451" s="86"/>
      <c r="L451" s="86"/>
      <c r="M451" s="86"/>
      <c r="N451" s="86"/>
      <c r="O451" s="83"/>
      <c r="P451" s="87">
        <v>5</v>
      </c>
      <c r="Q451" s="83">
        <v>2</v>
      </c>
      <c r="R451" s="87"/>
      <c r="S451" s="83"/>
      <c r="T451" s="87">
        <v>162</v>
      </c>
      <c r="U451" s="83"/>
      <c r="V451" s="87"/>
      <c r="W451" s="84"/>
      <c r="X451" s="87"/>
      <c r="Y451" s="83"/>
      <c r="Z451" s="87"/>
      <c r="AA451" s="83"/>
      <c r="AB451" s="87"/>
      <c r="AC451" s="84"/>
      <c r="AD451" s="90"/>
      <c r="AE451" s="83"/>
    </row>
    <row r="452" spans="1:31" ht="129.75" thickBot="1">
      <c r="A452" s="83">
        <v>2</v>
      </c>
      <c r="B452" s="22" t="s">
        <v>69</v>
      </c>
      <c r="C452" s="84"/>
      <c r="D452" s="86"/>
      <c r="E452" s="86"/>
      <c r="F452" s="86"/>
      <c r="G452" s="86"/>
      <c r="H452" s="86"/>
      <c r="I452" s="86"/>
      <c r="J452" s="86"/>
      <c r="K452" s="86"/>
      <c r="L452" s="86"/>
      <c r="M452" s="86"/>
      <c r="N452" s="86"/>
      <c r="O452" s="83"/>
      <c r="P452" s="84">
        <v>11</v>
      </c>
      <c r="Q452" s="83"/>
      <c r="R452" s="87"/>
      <c r="S452" s="83"/>
      <c r="T452" s="84">
        <v>100</v>
      </c>
      <c r="U452" s="83"/>
      <c r="V452" s="87"/>
      <c r="W452" s="83"/>
      <c r="X452" s="87"/>
      <c r="Y452" s="83"/>
      <c r="Z452" s="87"/>
      <c r="AA452" s="83"/>
      <c r="AB452" s="87"/>
      <c r="AC452" s="83">
        <v>2.4</v>
      </c>
      <c r="AD452" s="90"/>
      <c r="AE452" s="84"/>
    </row>
    <row r="453" spans="1:31" ht="65.25" thickBot="1">
      <c r="A453" s="83">
        <v>16</v>
      </c>
      <c r="B453" s="22" t="s">
        <v>36</v>
      </c>
      <c r="C453" s="86">
        <v>25</v>
      </c>
      <c r="D453" s="85"/>
      <c r="E453" s="85"/>
      <c r="F453" s="85"/>
      <c r="G453" s="85"/>
      <c r="H453" s="86"/>
      <c r="I453" s="86"/>
      <c r="J453" s="86"/>
      <c r="K453" s="86"/>
      <c r="L453" s="86"/>
      <c r="M453" s="86"/>
      <c r="N453" s="86"/>
      <c r="O453" s="87"/>
      <c r="P453" s="84"/>
      <c r="Q453" s="84">
        <v>5</v>
      </c>
      <c r="R453" s="84"/>
      <c r="S453" s="87"/>
      <c r="T453" s="84"/>
      <c r="U453" s="87"/>
      <c r="V453" s="83"/>
      <c r="W453" s="84"/>
      <c r="X453" s="83"/>
      <c r="Y453" s="87"/>
      <c r="Z453" s="84"/>
      <c r="AA453" s="84"/>
      <c r="AB453" s="87"/>
      <c r="AC453" s="83"/>
      <c r="AD453" s="88"/>
      <c r="AE453" s="84"/>
    </row>
    <row r="454" spans="1:31" ht="65.25" thickBot="1">
      <c r="A454" s="83"/>
      <c r="B454" s="22" t="s">
        <v>6</v>
      </c>
      <c r="C454" s="84">
        <f>SUM(C451+C452+C453)</f>
        <v>25</v>
      </c>
      <c r="D454" s="84">
        <f aca="true" t="shared" si="79" ref="D454:AE454">SUM(D451+D452+D453)</f>
        <v>0</v>
      </c>
      <c r="E454" s="84">
        <f t="shared" si="79"/>
        <v>0</v>
      </c>
      <c r="F454" s="84">
        <f t="shared" si="79"/>
        <v>0</v>
      </c>
      <c r="G454" s="84">
        <f t="shared" si="79"/>
        <v>11</v>
      </c>
      <c r="H454" s="84">
        <f t="shared" si="79"/>
        <v>0</v>
      </c>
      <c r="I454" s="84">
        <f t="shared" si="79"/>
        <v>0</v>
      </c>
      <c r="J454" s="84">
        <f t="shared" si="79"/>
        <v>0</v>
      </c>
      <c r="K454" s="84">
        <f t="shared" si="79"/>
        <v>0</v>
      </c>
      <c r="L454" s="84">
        <f t="shared" si="79"/>
        <v>0</v>
      </c>
      <c r="M454" s="84">
        <f t="shared" si="79"/>
        <v>0</v>
      </c>
      <c r="N454" s="84">
        <f t="shared" si="79"/>
        <v>0</v>
      </c>
      <c r="O454" s="84">
        <f t="shared" si="79"/>
        <v>0</v>
      </c>
      <c r="P454" s="84">
        <f t="shared" si="79"/>
        <v>16</v>
      </c>
      <c r="Q454" s="84">
        <f t="shared" si="79"/>
        <v>7</v>
      </c>
      <c r="R454" s="84">
        <f t="shared" si="79"/>
        <v>0</v>
      </c>
      <c r="S454" s="84">
        <f t="shared" si="79"/>
        <v>0</v>
      </c>
      <c r="T454" s="84">
        <f t="shared" si="79"/>
        <v>262</v>
      </c>
      <c r="U454" s="84">
        <f t="shared" si="79"/>
        <v>0</v>
      </c>
      <c r="V454" s="84">
        <f t="shared" si="79"/>
        <v>0</v>
      </c>
      <c r="W454" s="84">
        <f t="shared" si="79"/>
        <v>0</v>
      </c>
      <c r="X454" s="84">
        <f t="shared" si="79"/>
        <v>0</v>
      </c>
      <c r="Y454" s="84">
        <f t="shared" si="79"/>
        <v>0</v>
      </c>
      <c r="Z454" s="84">
        <f t="shared" si="79"/>
        <v>0</v>
      </c>
      <c r="AA454" s="88">
        <f t="shared" si="79"/>
        <v>0</v>
      </c>
      <c r="AB454" s="84">
        <f t="shared" si="79"/>
        <v>0</v>
      </c>
      <c r="AC454" s="85">
        <f t="shared" si="79"/>
        <v>2.4</v>
      </c>
      <c r="AD454" s="88">
        <f t="shared" si="79"/>
        <v>0</v>
      </c>
      <c r="AE454" s="84">
        <f t="shared" si="79"/>
        <v>0</v>
      </c>
    </row>
    <row r="455" spans="1:31" ht="65.25" thickBot="1">
      <c r="A455" s="155" t="s">
        <v>53</v>
      </c>
      <c r="B455" s="156"/>
      <c r="C455" s="156"/>
      <c r="D455" s="156"/>
      <c r="E455" s="156"/>
      <c r="F455" s="156"/>
      <c r="G455" s="156"/>
      <c r="H455" s="156"/>
      <c r="I455" s="156"/>
      <c r="J455" s="156"/>
      <c r="K455" s="156"/>
      <c r="L455" s="156"/>
      <c r="M455" s="156"/>
      <c r="N455" s="156"/>
      <c r="O455" s="156"/>
      <c r="P455" s="156"/>
      <c r="Q455" s="156"/>
      <c r="R455" s="156"/>
      <c r="S455" s="156"/>
      <c r="T455" s="156"/>
      <c r="U455" s="156"/>
      <c r="V455" s="156"/>
      <c r="W455" s="156"/>
      <c r="X455" s="156"/>
      <c r="Y455" s="156"/>
      <c r="Z455" s="156"/>
      <c r="AA455" s="156"/>
      <c r="AB455" s="156"/>
      <c r="AC455" s="156"/>
      <c r="AD455" s="156"/>
      <c r="AE455" s="157"/>
    </row>
    <row r="456" spans="1:31" ht="65.25" thickBot="1">
      <c r="A456" s="83" t="s">
        <v>32</v>
      </c>
      <c r="B456" s="25" t="s">
        <v>182</v>
      </c>
      <c r="C456" s="84"/>
      <c r="D456" s="86"/>
      <c r="E456" s="86"/>
      <c r="F456" s="86"/>
      <c r="G456" s="86"/>
      <c r="H456" s="86"/>
      <c r="I456" s="86"/>
      <c r="J456" s="86"/>
      <c r="K456" s="86">
        <v>150</v>
      </c>
      <c r="L456" s="86"/>
      <c r="M456" s="86"/>
      <c r="N456" s="86"/>
      <c r="O456" s="87"/>
      <c r="P456" s="84"/>
      <c r="Q456" s="87"/>
      <c r="R456" s="84"/>
      <c r="S456" s="87"/>
      <c r="T456" s="84"/>
      <c r="U456" s="87"/>
      <c r="V456" s="84"/>
      <c r="W456" s="84"/>
      <c r="X456" s="87"/>
      <c r="Y456" s="84"/>
      <c r="Z456" s="84"/>
      <c r="AA456" s="87"/>
      <c r="AB456" s="84"/>
      <c r="AC456" s="87"/>
      <c r="AD456" s="88"/>
      <c r="AE456" s="83"/>
    </row>
    <row r="457" spans="1:31" ht="65.25" thickBot="1">
      <c r="A457" s="83"/>
      <c r="B457" s="22" t="s">
        <v>29</v>
      </c>
      <c r="C457" s="86">
        <f>SUM(C456)</f>
        <v>0</v>
      </c>
      <c r="D457" s="86">
        <f>SUM(D456)</f>
        <v>0</v>
      </c>
      <c r="E457" s="86">
        <f aca="true" t="shared" si="80" ref="E457:AD457">SUM(E456)</f>
        <v>0</v>
      </c>
      <c r="F457" s="86">
        <f t="shared" si="80"/>
        <v>0</v>
      </c>
      <c r="G457" s="86">
        <f t="shared" si="80"/>
        <v>0</v>
      </c>
      <c r="H457" s="86">
        <f t="shared" si="80"/>
        <v>0</v>
      </c>
      <c r="I457" s="86">
        <f t="shared" si="80"/>
        <v>0</v>
      </c>
      <c r="J457" s="86">
        <f t="shared" si="80"/>
        <v>0</v>
      </c>
      <c r="K457" s="86">
        <f t="shared" si="80"/>
        <v>150</v>
      </c>
      <c r="L457" s="86">
        <f t="shared" si="80"/>
        <v>0</v>
      </c>
      <c r="M457" s="86">
        <f t="shared" si="80"/>
        <v>0</v>
      </c>
      <c r="N457" s="86">
        <f t="shared" si="80"/>
        <v>0</v>
      </c>
      <c r="O457" s="86">
        <f t="shared" si="80"/>
        <v>0</v>
      </c>
      <c r="P457" s="86">
        <f t="shared" si="80"/>
        <v>0</v>
      </c>
      <c r="Q457" s="86">
        <f t="shared" si="80"/>
        <v>0</v>
      </c>
      <c r="R457" s="86">
        <f t="shared" si="80"/>
        <v>0</v>
      </c>
      <c r="S457" s="86">
        <f t="shared" si="80"/>
        <v>0</v>
      </c>
      <c r="T457" s="86">
        <f t="shared" si="80"/>
        <v>0</v>
      </c>
      <c r="U457" s="86">
        <f t="shared" si="80"/>
        <v>0</v>
      </c>
      <c r="V457" s="86">
        <f t="shared" si="80"/>
        <v>0</v>
      </c>
      <c r="W457" s="86">
        <f t="shared" si="80"/>
        <v>0</v>
      </c>
      <c r="X457" s="86">
        <f t="shared" si="80"/>
        <v>0</v>
      </c>
      <c r="Y457" s="86">
        <f t="shared" si="80"/>
        <v>0</v>
      </c>
      <c r="Z457" s="86">
        <f t="shared" si="80"/>
        <v>0</v>
      </c>
      <c r="AA457" s="86">
        <f t="shared" si="80"/>
        <v>0</v>
      </c>
      <c r="AB457" s="86">
        <f t="shared" si="80"/>
        <v>0</v>
      </c>
      <c r="AC457" s="86">
        <f t="shared" si="80"/>
        <v>0</v>
      </c>
      <c r="AD457" s="87">
        <f t="shared" si="80"/>
        <v>0</v>
      </c>
      <c r="AE457" s="83">
        <f>SUM(AE456)</f>
        <v>0</v>
      </c>
    </row>
    <row r="458" spans="1:31" ht="65.25" thickBot="1">
      <c r="A458" s="155" t="s">
        <v>31</v>
      </c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  <c r="N458" s="156"/>
      <c r="O458" s="156"/>
      <c r="P458" s="156"/>
      <c r="Q458" s="156"/>
      <c r="R458" s="156"/>
      <c r="S458" s="156"/>
      <c r="T458" s="156"/>
      <c r="U458" s="156"/>
      <c r="V458" s="156"/>
      <c r="W458" s="156"/>
      <c r="X458" s="156"/>
      <c r="Y458" s="156"/>
      <c r="Z458" s="156"/>
      <c r="AA458" s="156"/>
      <c r="AB458" s="156"/>
      <c r="AC458" s="156"/>
      <c r="AD458" s="156"/>
      <c r="AE458" s="157"/>
    </row>
    <row r="459" spans="1:31" ht="65.25" thickBot="1">
      <c r="A459" s="84">
        <v>56</v>
      </c>
      <c r="B459" s="22" t="s">
        <v>228</v>
      </c>
      <c r="C459" s="84"/>
      <c r="D459" s="86"/>
      <c r="E459" s="86"/>
      <c r="F459" s="86"/>
      <c r="G459" s="86"/>
      <c r="H459" s="86"/>
      <c r="I459" s="86"/>
      <c r="J459" s="86">
        <v>56.5</v>
      </c>
      <c r="K459" s="86"/>
      <c r="L459" s="86"/>
      <c r="M459" s="86"/>
      <c r="N459" s="86"/>
      <c r="O459" s="87"/>
      <c r="P459" s="83"/>
      <c r="Q459" s="87"/>
      <c r="R459" s="83">
        <v>5</v>
      </c>
      <c r="S459" s="87"/>
      <c r="T459" s="83"/>
      <c r="U459" s="87"/>
      <c r="V459" s="84"/>
      <c r="W459" s="83"/>
      <c r="X459" s="87"/>
      <c r="Y459" s="84"/>
      <c r="Z459" s="83"/>
      <c r="AA459" s="87"/>
      <c r="AB459" s="83"/>
      <c r="AC459" s="84"/>
      <c r="AD459" s="87"/>
      <c r="AE459" s="80"/>
    </row>
    <row r="460" spans="1:31" ht="65.25" thickBot="1">
      <c r="A460" s="83">
        <v>92</v>
      </c>
      <c r="B460" s="22" t="s">
        <v>238</v>
      </c>
      <c r="C460" s="84"/>
      <c r="D460" s="85"/>
      <c r="E460" s="85"/>
      <c r="F460" s="85"/>
      <c r="G460" s="85"/>
      <c r="H460" s="86"/>
      <c r="I460" s="86">
        <v>100</v>
      </c>
      <c r="J460" s="86">
        <v>22</v>
      </c>
      <c r="K460" s="86"/>
      <c r="L460" s="86"/>
      <c r="M460" s="86"/>
      <c r="N460" s="86"/>
      <c r="O460" s="87"/>
      <c r="P460" s="84"/>
      <c r="Q460" s="87">
        <v>3</v>
      </c>
      <c r="R460" s="84"/>
      <c r="S460" s="87">
        <v>20</v>
      </c>
      <c r="T460" s="84"/>
      <c r="U460" s="87"/>
      <c r="V460" s="83"/>
      <c r="W460" s="83"/>
      <c r="X460" s="87">
        <v>25</v>
      </c>
      <c r="Y460" s="83"/>
      <c r="Z460" s="84"/>
      <c r="AA460" s="84"/>
      <c r="AB460" s="87"/>
      <c r="AC460" s="83"/>
      <c r="AD460" s="88"/>
      <c r="AE460" s="84"/>
    </row>
    <row r="461" spans="1:31" ht="65.25" thickBot="1">
      <c r="A461" s="83">
        <v>63</v>
      </c>
      <c r="B461" s="22" t="s">
        <v>147</v>
      </c>
      <c r="C461" s="84"/>
      <c r="D461" s="86"/>
      <c r="E461" s="86"/>
      <c r="F461" s="86"/>
      <c r="G461" s="86"/>
      <c r="H461" s="86"/>
      <c r="I461" s="86"/>
      <c r="J461" s="86">
        <v>72</v>
      </c>
      <c r="K461" s="86"/>
      <c r="L461" s="86"/>
      <c r="M461" s="86"/>
      <c r="N461" s="86"/>
      <c r="O461" s="86"/>
      <c r="P461" s="86"/>
      <c r="Q461" s="86">
        <v>5</v>
      </c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7"/>
      <c r="AE461" s="83"/>
    </row>
    <row r="462" spans="1:31" ht="129.75" thickBot="1">
      <c r="A462" s="94">
        <v>6</v>
      </c>
      <c r="B462" s="75" t="s">
        <v>74</v>
      </c>
      <c r="C462" s="95">
        <v>12</v>
      </c>
      <c r="D462" s="96"/>
      <c r="E462" s="96"/>
      <c r="F462" s="96"/>
      <c r="G462" s="96"/>
      <c r="H462" s="96"/>
      <c r="I462" s="96"/>
      <c r="J462" s="96">
        <v>5</v>
      </c>
      <c r="K462" s="96"/>
      <c r="L462" s="96"/>
      <c r="M462" s="96"/>
      <c r="N462" s="96"/>
      <c r="O462" s="94"/>
      <c r="P462" s="97"/>
      <c r="Q462" s="94"/>
      <c r="R462" s="97">
        <v>4</v>
      </c>
      <c r="S462" s="94">
        <v>4</v>
      </c>
      <c r="T462" s="97">
        <v>12</v>
      </c>
      <c r="U462" s="98"/>
      <c r="V462" s="121"/>
      <c r="W462" s="95">
        <v>41</v>
      </c>
      <c r="X462" s="97"/>
      <c r="Y462" s="95"/>
      <c r="Z462" s="97"/>
      <c r="AA462" s="94"/>
      <c r="AB462" s="94"/>
      <c r="AC462" s="97"/>
      <c r="AD462" s="98"/>
      <c r="AE462" s="94"/>
    </row>
    <row r="463" spans="1:31" ht="65.25" thickBot="1">
      <c r="A463" s="83">
        <v>9</v>
      </c>
      <c r="B463" s="22" t="s">
        <v>43</v>
      </c>
      <c r="C463" s="84"/>
      <c r="D463" s="86"/>
      <c r="E463" s="86"/>
      <c r="F463" s="86"/>
      <c r="G463" s="86"/>
      <c r="H463" s="86"/>
      <c r="I463" s="86"/>
      <c r="J463" s="86"/>
      <c r="K463" s="86"/>
      <c r="L463" s="86"/>
      <c r="M463" s="86"/>
      <c r="N463" s="86">
        <v>18</v>
      </c>
      <c r="O463" s="87"/>
      <c r="P463" s="83">
        <v>13</v>
      </c>
      <c r="Q463" s="87"/>
      <c r="R463" s="83"/>
      <c r="S463" s="87"/>
      <c r="T463" s="83"/>
      <c r="U463" s="83"/>
      <c r="V463" s="87"/>
      <c r="W463" s="83"/>
      <c r="X463" s="87"/>
      <c r="Y463" s="83"/>
      <c r="Z463" s="83"/>
      <c r="AA463" s="87"/>
      <c r="AB463" s="83"/>
      <c r="AC463" s="87"/>
      <c r="AD463" s="90"/>
      <c r="AE463" s="83"/>
    </row>
    <row r="464" spans="1:31" ht="129.75" thickBot="1">
      <c r="A464" s="83" t="s">
        <v>32</v>
      </c>
      <c r="B464" s="22" t="s">
        <v>56</v>
      </c>
      <c r="C464" s="84">
        <v>25</v>
      </c>
      <c r="D464" s="86"/>
      <c r="E464" s="86"/>
      <c r="F464" s="86"/>
      <c r="G464" s="86"/>
      <c r="H464" s="86"/>
      <c r="I464" s="86"/>
      <c r="J464" s="86"/>
      <c r="K464" s="86"/>
      <c r="L464" s="86"/>
      <c r="M464" s="86"/>
      <c r="N464" s="86"/>
      <c r="O464" s="86"/>
      <c r="P464" s="86"/>
      <c r="Q464" s="86"/>
      <c r="R464" s="86"/>
      <c r="S464" s="86"/>
      <c r="T464" s="86"/>
      <c r="U464" s="87"/>
      <c r="V464" s="83"/>
      <c r="W464" s="86"/>
      <c r="X464" s="87"/>
      <c r="Y464" s="83"/>
      <c r="Z464" s="86"/>
      <c r="AA464" s="86"/>
      <c r="AB464" s="86"/>
      <c r="AC464" s="86"/>
      <c r="AD464" s="87"/>
      <c r="AE464" s="83"/>
    </row>
    <row r="465" spans="1:31" ht="129.75" thickBot="1">
      <c r="A465" s="83" t="s">
        <v>32</v>
      </c>
      <c r="B465" s="22" t="s">
        <v>58</v>
      </c>
      <c r="C465" s="84"/>
      <c r="D465" s="86">
        <v>50</v>
      </c>
      <c r="E465" s="86"/>
      <c r="F465" s="86"/>
      <c r="G465" s="86"/>
      <c r="H465" s="86"/>
      <c r="I465" s="86"/>
      <c r="J465" s="86"/>
      <c r="K465" s="86"/>
      <c r="L465" s="86"/>
      <c r="M465" s="86"/>
      <c r="N465" s="83"/>
      <c r="O465" s="87"/>
      <c r="P465" s="83"/>
      <c r="Q465" s="87"/>
      <c r="R465" s="83"/>
      <c r="S465" s="87"/>
      <c r="T465" s="83"/>
      <c r="U465" s="87"/>
      <c r="V465" s="83"/>
      <c r="W465" s="83"/>
      <c r="X465" s="83"/>
      <c r="Y465" s="87"/>
      <c r="Z465" s="83"/>
      <c r="AA465" s="83"/>
      <c r="AB465" s="87"/>
      <c r="AC465" s="83"/>
      <c r="AD465" s="90"/>
      <c r="AE465" s="83"/>
    </row>
    <row r="466" spans="1:31" ht="65.25" thickBot="1">
      <c r="A466" s="83"/>
      <c r="B466" s="22" t="s">
        <v>6</v>
      </c>
      <c r="C466" s="86">
        <f aca="true" t="shared" si="81" ref="C466:AE466">SUM(C459:C465)</f>
        <v>37</v>
      </c>
      <c r="D466" s="86">
        <f t="shared" si="81"/>
        <v>50</v>
      </c>
      <c r="E466" s="86">
        <f t="shared" si="81"/>
        <v>0</v>
      </c>
      <c r="F466" s="86">
        <f t="shared" si="81"/>
        <v>0</v>
      </c>
      <c r="G466" s="86">
        <f t="shared" si="81"/>
        <v>0</v>
      </c>
      <c r="H466" s="86">
        <f t="shared" si="81"/>
        <v>0</v>
      </c>
      <c r="I466" s="86">
        <f t="shared" si="81"/>
        <v>100</v>
      </c>
      <c r="J466" s="86">
        <f t="shared" si="81"/>
        <v>155.5</v>
      </c>
      <c r="K466" s="86">
        <f t="shared" si="81"/>
        <v>0</v>
      </c>
      <c r="L466" s="86">
        <f t="shared" si="81"/>
        <v>0</v>
      </c>
      <c r="M466" s="86">
        <f t="shared" si="81"/>
        <v>0</v>
      </c>
      <c r="N466" s="86">
        <f t="shared" si="81"/>
        <v>18</v>
      </c>
      <c r="O466" s="86">
        <f t="shared" si="81"/>
        <v>0</v>
      </c>
      <c r="P466" s="86">
        <f t="shared" si="81"/>
        <v>13</v>
      </c>
      <c r="Q466" s="86">
        <f t="shared" si="81"/>
        <v>8</v>
      </c>
      <c r="R466" s="86">
        <f t="shared" si="81"/>
        <v>9</v>
      </c>
      <c r="S466" s="86">
        <f t="shared" si="81"/>
        <v>24</v>
      </c>
      <c r="T466" s="86">
        <f t="shared" si="81"/>
        <v>12</v>
      </c>
      <c r="U466" s="86">
        <f t="shared" si="81"/>
        <v>0</v>
      </c>
      <c r="V466" s="86">
        <f t="shared" si="81"/>
        <v>0</v>
      </c>
      <c r="W466" s="86">
        <f t="shared" si="81"/>
        <v>41</v>
      </c>
      <c r="X466" s="86">
        <f t="shared" si="81"/>
        <v>25</v>
      </c>
      <c r="Y466" s="86">
        <f t="shared" si="81"/>
        <v>0</v>
      </c>
      <c r="Z466" s="86">
        <f t="shared" si="81"/>
        <v>0</v>
      </c>
      <c r="AA466" s="86">
        <f t="shared" si="81"/>
        <v>0</v>
      </c>
      <c r="AB466" s="86">
        <f t="shared" si="81"/>
        <v>0</v>
      </c>
      <c r="AC466" s="86">
        <f t="shared" si="81"/>
        <v>0</v>
      </c>
      <c r="AD466" s="87">
        <f t="shared" si="81"/>
        <v>0</v>
      </c>
      <c r="AE466" s="83">
        <f t="shared" si="81"/>
        <v>0</v>
      </c>
    </row>
    <row r="467" spans="1:31" ht="65.25" thickBot="1">
      <c r="A467" s="150" t="s">
        <v>145</v>
      </c>
      <c r="B467" s="151"/>
      <c r="C467" s="151"/>
      <c r="D467" s="151"/>
      <c r="E467" s="151"/>
      <c r="F467" s="151"/>
      <c r="G467" s="151"/>
      <c r="H467" s="151"/>
      <c r="I467" s="151"/>
      <c r="J467" s="151"/>
      <c r="K467" s="151"/>
      <c r="L467" s="151"/>
      <c r="M467" s="151"/>
      <c r="N467" s="151"/>
      <c r="O467" s="151"/>
      <c r="P467" s="151"/>
      <c r="Q467" s="151"/>
      <c r="R467" s="151"/>
      <c r="S467" s="151"/>
      <c r="T467" s="151"/>
      <c r="U467" s="151"/>
      <c r="V467" s="151"/>
      <c r="W467" s="151"/>
      <c r="X467" s="151"/>
      <c r="Y467" s="151"/>
      <c r="Z467" s="151"/>
      <c r="AA467" s="151"/>
      <c r="AB467" s="151"/>
      <c r="AC467" s="151"/>
      <c r="AD467" s="151"/>
      <c r="AE467" s="152"/>
    </row>
    <row r="468" spans="1:31" ht="129.75" thickBot="1">
      <c r="A468" s="92">
        <v>21.1</v>
      </c>
      <c r="B468" s="27" t="s">
        <v>172</v>
      </c>
      <c r="C468" s="83"/>
      <c r="D468" s="86"/>
      <c r="E468" s="83"/>
      <c r="F468" s="83"/>
      <c r="G468" s="83"/>
      <c r="H468" s="86"/>
      <c r="I468" s="86"/>
      <c r="J468" s="86"/>
      <c r="K468" s="86"/>
      <c r="L468" s="86"/>
      <c r="M468" s="86"/>
      <c r="N468" s="86"/>
      <c r="O468" s="87"/>
      <c r="P468" s="84"/>
      <c r="Q468" s="87"/>
      <c r="R468" s="84"/>
      <c r="S468" s="87"/>
      <c r="T468" s="84">
        <v>185</v>
      </c>
      <c r="U468" s="87"/>
      <c r="V468" s="84"/>
      <c r="W468" s="84"/>
      <c r="X468" s="87"/>
      <c r="Y468" s="84"/>
      <c r="Z468" s="84"/>
      <c r="AA468" s="87"/>
      <c r="AB468" s="84"/>
      <c r="AC468" s="87"/>
      <c r="AD468" s="88"/>
      <c r="AE468" s="83"/>
    </row>
    <row r="469" spans="1:31" ht="194.25" thickBot="1">
      <c r="A469" s="94">
        <v>72</v>
      </c>
      <c r="B469" s="75" t="s">
        <v>167</v>
      </c>
      <c r="C469" s="95"/>
      <c r="D469" s="106"/>
      <c r="E469" s="106">
        <v>46.5</v>
      </c>
      <c r="F469" s="106"/>
      <c r="G469" s="106"/>
      <c r="H469" s="96"/>
      <c r="I469" s="96"/>
      <c r="J469" s="96"/>
      <c r="K469" s="96"/>
      <c r="L469" s="96"/>
      <c r="M469" s="96">
        <v>16.3</v>
      </c>
      <c r="N469" s="96"/>
      <c r="O469" s="96"/>
      <c r="P469" s="96">
        <v>2</v>
      </c>
      <c r="Q469" s="96">
        <v>4</v>
      </c>
      <c r="R469" s="96">
        <v>1</v>
      </c>
      <c r="S469" s="96">
        <v>3</v>
      </c>
      <c r="T469" s="96">
        <v>18</v>
      </c>
      <c r="U469" s="96"/>
      <c r="V469" s="96"/>
      <c r="W469" s="96"/>
      <c r="X469" s="96"/>
      <c r="Y469" s="96"/>
      <c r="Z469" s="96"/>
      <c r="AA469" s="96"/>
      <c r="AB469" s="96"/>
      <c r="AC469" s="96"/>
      <c r="AD469" s="97"/>
      <c r="AE469" s="84">
        <v>1.5</v>
      </c>
    </row>
    <row r="470" spans="1:31" ht="65.25" thickBot="1">
      <c r="A470" s="84"/>
      <c r="B470" s="22" t="s">
        <v>29</v>
      </c>
      <c r="C470" s="84">
        <f aca="true" t="shared" si="82" ref="C470:AE470">C468+C469</f>
        <v>0</v>
      </c>
      <c r="D470" s="84">
        <f t="shared" si="82"/>
        <v>0</v>
      </c>
      <c r="E470" s="84">
        <f t="shared" si="82"/>
        <v>46.5</v>
      </c>
      <c r="F470" s="84">
        <f t="shared" si="82"/>
        <v>0</v>
      </c>
      <c r="G470" s="84">
        <f t="shared" si="82"/>
        <v>0</v>
      </c>
      <c r="H470" s="84">
        <f t="shared" si="82"/>
        <v>0</v>
      </c>
      <c r="I470" s="84">
        <f t="shared" si="82"/>
        <v>0</v>
      </c>
      <c r="J470" s="84">
        <f t="shared" si="82"/>
        <v>0</v>
      </c>
      <c r="K470" s="84">
        <f t="shared" si="82"/>
        <v>0</v>
      </c>
      <c r="L470" s="84">
        <f t="shared" si="82"/>
        <v>0</v>
      </c>
      <c r="M470" s="84">
        <f t="shared" si="82"/>
        <v>16.3</v>
      </c>
      <c r="N470" s="84">
        <f t="shared" si="82"/>
        <v>0</v>
      </c>
      <c r="O470" s="84">
        <f t="shared" si="82"/>
        <v>0</v>
      </c>
      <c r="P470" s="84">
        <f t="shared" si="82"/>
        <v>2</v>
      </c>
      <c r="Q470" s="84">
        <f t="shared" si="82"/>
        <v>4</v>
      </c>
      <c r="R470" s="84">
        <f t="shared" si="82"/>
        <v>1</v>
      </c>
      <c r="S470" s="84">
        <f t="shared" si="82"/>
        <v>3</v>
      </c>
      <c r="T470" s="84">
        <f t="shared" si="82"/>
        <v>203</v>
      </c>
      <c r="U470" s="84">
        <f t="shared" si="82"/>
        <v>0</v>
      </c>
      <c r="V470" s="84">
        <f t="shared" si="82"/>
        <v>0</v>
      </c>
      <c r="W470" s="84">
        <f t="shared" si="82"/>
        <v>0</v>
      </c>
      <c r="X470" s="84">
        <f t="shared" si="82"/>
        <v>0</v>
      </c>
      <c r="Y470" s="84">
        <f t="shared" si="82"/>
        <v>0</v>
      </c>
      <c r="Z470" s="84">
        <f t="shared" si="82"/>
        <v>0</v>
      </c>
      <c r="AA470" s="84">
        <f t="shared" si="82"/>
        <v>0</v>
      </c>
      <c r="AB470" s="84">
        <f t="shared" si="82"/>
        <v>0</v>
      </c>
      <c r="AC470" s="84">
        <f t="shared" si="82"/>
        <v>0</v>
      </c>
      <c r="AD470" s="84">
        <f t="shared" si="82"/>
        <v>0</v>
      </c>
      <c r="AE470" s="84">
        <f t="shared" si="82"/>
        <v>1.5</v>
      </c>
    </row>
    <row r="471" spans="1:31" ht="65.25" thickBot="1">
      <c r="A471" s="155" t="s">
        <v>144</v>
      </c>
      <c r="B471" s="156"/>
      <c r="C471" s="156"/>
      <c r="D471" s="156"/>
      <c r="E471" s="156"/>
      <c r="F471" s="156"/>
      <c r="G471" s="156"/>
      <c r="H471" s="156"/>
      <c r="I471" s="156"/>
      <c r="J471" s="156"/>
      <c r="K471" s="156"/>
      <c r="L471" s="156"/>
      <c r="M471" s="156"/>
      <c r="N471" s="156"/>
      <c r="O471" s="156"/>
      <c r="P471" s="156"/>
      <c r="Q471" s="156"/>
      <c r="R471" s="156"/>
      <c r="S471" s="156"/>
      <c r="T471" s="156"/>
      <c r="U471" s="156"/>
      <c r="V471" s="156"/>
      <c r="W471" s="156"/>
      <c r="X471" s="156"/>
      <c r="Y471" s="156"/>
      <c r="Z471" s="156"/>
      <c r="AA471" s="156"/>
      <c r="AB471" s="156"/>
      <c r="AC471" s="156"/>
      <c r="AD471" s="156"/>
      <c r="AE471" s="157"/>
    </row>
    <row r="472" spans="1:31" ht="129.75" thickBot="1">
      <c r="A472" s="84">
        <v>71</v>
      </c>
      <c r="B472" s="25" t="s">
        <v>261</v>
      </c>
      <c r="C472" s="84"/>
      <c r="D472" s="85"/>
      <c r="E472" s="85">
        <v>2</v>
      </c>
      <c r="F472" s="85"/>
      <c r="G472" s="85"/>
      <c r="H472" s="86"/>
      <c r="I472" s="86"/>
      <c r="J472" s="86">
        <v>30</v>
      </c>
      <c r="K472" s="86"/>
      <c r="L472" s="86"/>
      <c r="M472" s="86"/>
      <c r="N472" s="86"/>
      <c r="O472" s="86"/>
      <c r="P472" s="86"/>
      <c r="Q472" s="86">
        <v>2</v>
      </c>
      <c r="R472" s="86"/>
      <c r="S472" s="86"/>
      <c r="T472" s="86">
        <v>25</v>
      </c>
      <c r="U472" s="87"/>
      <c r="V472" s="84"/>
      <c r="W472" s="87"/>
      <c r="X472" s="84"/>
      <c r="Y472" s="86">
        <v>97</v>
      </c>
      <c r="Z472" s="86"/>
      <c r="AA472" s="86"/>
      <c r="AB472" s="86"/>
      <c r="AC472" s="86"/>
      <c r="AD472" s="87"/>
      <c r="AE472" s="83"/>
    </row>
    <row r="473" spans="1:31" ht="65.25" thickBot="1">
      <c r="A473" s="84">
        <v>79</v>
      </c>
      <c r="B473" s="22" t="s">
        <v>262</v>
      </c>
      <c r="C473" s="84"/>
      <c r="D473" s="86"/>
      <c r="E473" s="86"/>
      <c r="F473" s="86"/>
      <c r="G473" s="86"/>
      <c r="H473" s="86"/>
      <c r="I473" s="86">
        <v>129</v>
      </c>
      <c r="J473" s="86"/>
      <c r="K473" s="86"/>
      <c r="L473" s="86"/>
      <c r="M473" s="86"/>
      <c r="N473" s="86"/>
      <c r="O473" s="87"/>
      <c r="P473" s="83"/>
      <c r="Q473" s="87">
        <v>6</v>
      </c>
      <c r="R473" s="83"/>
      <c r="S473" s="87"/>
      <c r="T473" s="83"/>
      <c r="U473" s="90"/>
      <c r="V473" s="83"/>
      <c r="W473" s="83"/>
      <c r="X473" s="87"/>
      <c r="Y473" s="83"/>
      <c r="Z473" s="83"/>
      <c r="AA473" s="87"/>
      <c r="AB473" s="83"/>
      <c r="AC473" s="87"/>
      <c r="AD473" s="90"/>
      <c r="AE473" s="83"/>
    </row>
    <row r="474" spans="1:31" ht="129.75" thickBot="1">
      <c r="A474" s="83" t="s">
        <v>32</v>
      </c>
      <c r="B474" s="22" t="s">
        <v>56</v>
      </c>
      <c r="C474" s="84">
        <v>25</v>
      </c>
      <c r="D474" s="86"/>
      <c r="E474" s="86"/>
      <c r="F474" s="86"/>
      <c r="G474" s="86"/>
      <c r="H474" s="86"/>
      <c r="I474" s="86"/>
      <c r="J474" s="86"/>
      <c r="K474" s="86"/>
      <c r="L474" s="86"/>
      <c r="M474" s="86"/>
      <c r="N474" s="86"/>
      <c r="O474" s="86"/>
      <c r="P474" s="86"/>
      <c r="Q474" s="86"/>
      <c r="R474" s="86"/>
      <c r="S474" s="86"/>
      <c r="T474" s="87"/>
      <c r="U474" s="83"/>
      <c r="V474" s="86"/>
      <c r="W474" s="87"/>
      <c r="X474" s="83"/>
      <c r="Y474" s="86"/>
      <c r="Z474" s="86"/>
      <c r="AA474" s="86"/>
      <c r="AB474" s="84"/>
      <c r="AC474" s="86"/>
      <c r="AD474" s="87"/>
      <c r="AE474" s="83"/>
    </row>
    <row r="475" spans="1:31" ht="65.25" thickBot="1">
      <c r="A475" s="89">
        <v>31</v>
      </c>
      <c r="B475" s="23" t="s">
        <v>9</v>
      </c>
      <c r="C475" s="84"/>
      <c r="D475" s="86"/>
      <c r="E475" s="86"/>
      <c r="F475" s="86"/>
      <c r="G475" s="86"/>
      <c r="H475" s="86"/>
      <c r="I475" s="86"/>
      <c r="J475" s="86"/>
      <c r="K475" s="86"/>
      <c r="L475" s="86"/>
      <c r="M475" s="86">
        <v>5</v>
      </c>
      <c r="N475" s="86"/>
      <c r="O475" s="86"/>
      <c r="P475" s="84">
        <v>12</v>
      </c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4">
        <v>0.58</v>
      </c>
      <c r="AC475" s="86"/>
      <c r="AD475" s="87"/>
      <c r="AE475" s="83"/>
    </row>
    <row r="476" spans="1:35" s="82" customFormat="1" ht="129.75" thickBot="1">
      <c r="A476" s="83">
        <v>69</v>
      </c>
      <c r="B476" s="22" t="s">
        <v>106</v>
      </c>
      <c r="C476" s="84"/>
      <c r="D476" s="85"/>
      <c r="E476" s="85"/>
      <c r="F476" s="85"/>
      <c r="G476" s="85"/>
      <c r="H476" s="86"/>
      <c r="I476" s="86"/>
      <c r="J476" s="86"/>
      <c r="K476" s="86"/>
      <c r="L476" s="86"/>
      <c r="M476" s="86">
        <v>85</v>
      </c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4"/>
      <c r="AB476" s="86"/>
      <c r="AC476" s="86"/>
      <c r="AD476" s="87"/>
      <c r="AE476" s="83"/>
      <c r="AF476" s="13"/>
      <c r="AG476" s="13"/>
      <c r="AH476" s="13"/>
      <c r="AI476" s="13"/>
    </row>
    <row r="477" spans="1:31" ht="65.25" thickBot="1">
      <c r="A477" s="83"/>
      <c r="B477" s="22" t="s">
        <v>6</v>
      </c>
      <c r="C477" s="84">
        <f aca="true" t="shared" si="83" ref="C477:AE477">SUM(C472:C476)</f>
        <v>25</v>
      </c>
      <c r="D477" s="84">
        <f t="shared" si="83"/>
        <v>0</v>
      </c>
      <c r="E477" s="84">
        <f t="shared" si="83"/>
        <v>2</v>
      </c>
      <c r="F477" s="84">
        <f t="shared" si="83"/>
        <v>0</v>
      </c>
      <c r="G477" s="84">
        <f t="shared" si="83"/>
        <v>0</v>
      </c>
      <c r="H477" s="84">
        <f t="shared" si="83"/>
        <v>0</v>
      </c>
      <c r="I477" s="84">
        <f t="shared" si="83"/>
        <v>129</v>
      </c>
      <c r="J477" s="84">
        <f t="shared" si="83"/>
        <v>30</v>
      </c>
      <c r="K477" s="84">
        <f t="shared" si="83"/>
        <v>0</v>
      </c>
      <c r="L477" s="84">
        <f t="shared" si="83"/>
        <v>0</v>
      </c>
      <c r="M477" s="84">
        <f t="shared" si="83"/>
        <v>90</v>
      </c>
      <c r="N477" s="84">
        <f t="shared" si="83"/>
        <v>0</v>
      </c>
      <c r="O477" s="84">
        <f t="shared" si="83"/>
        <v>0</v>
      </c>
      <c r="P477" s="84">
        <f t="shared" si="83"/>
        <v>12</v>
      </c>
      <c r="Q477" s="84">
        <f t="shared" si="83"/>
        <v>8</v>
      </c>
      <c r="R477" s="84">
        <f t="shared" si="83"/>
        <v>0</v>
      </c>
      <c r="S477" s="84">
        <f t="shared" si="83"/>
        <v>0</v>
      </c>
      <c r="T477" s="84">
        <f t="shared" si="83"/>
        <v>25</v>
      </c>
      <c r="U477" s="84">
        <f t="shared" si="83"/>
        <v>0</v>
      </c>
      <c r="V477" s="84">
        <f t="shared" si="83"/>
        <v>0</v>
      </c>
      <c r="W477" s="84">
        <f t="shared" si="83"/>
        <v>0</v>
      </c>
      <c r="X477" s="84">
        <f t="shared" si="83"/>
        <v>0</v>
      </c>
      <c r="Y477" s="84">
        <f t="shared" si="83"/>
        <v>97</v>
      </c>
      <c r="Z477" s="84">
        <f t="shared" si="83"/>
        <v>0</v>
      </c>
      <c r="AA477" s="84">
        <f t="shared" si="83"/>
        <v>0</v>
      </c>
      <c r="AB477" s="84">
        <f t="shared" si="83"/>
        <v>0.58</v>
      </c>
      <c r="AC477" s="84">
        <f t="shared" si="83"/>
        <v>0</v>
      </c>
      <c r="AD477" s="84">
        <f t="shared" si="83"/>
        <v>0</v>
      </c>
      <c r="AE477" s="84">
        <f t="shared" si="83"/>
        <v>0</v>
      </c>
    </row>
    <row r="478" spans="1:31" ht="194.25" thickBot="1">
      <c r="A478" s="145"/>
      <c r="B478" s="22" t="s">
        <v>150</v>
      </c>
      <c r="C478" s="84"/>
      <c r="D478" s="84"/>
      <c r="E478" s="84"/>
      <c r="F478" s="84"/>
      <c r="G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  <c r="AB478" s="84"/>
      <c r="AC478" s="84"/>
      <c r="AD478" s="88"/>
      <c r="AE478" s="84"/>
    </row>
    <row r="479" spans="1:31" ht="65.25" thickBot="1">
      <c r="A479" s="83"/>
      <c r="B479" s="93" t="s">
        <v>10</v>
      </c>
      <c r="C479" s="84">
        <f aca="true" t="shared" si="84" ref="C479:AE479">C454+C457+C466+C470+C477</f>
        <v>87</v>
      </c>
      <c r="D479" s="84">
        <f t="shared" si="84"/>
        <v>50</v>
      </c>
      <c r="E479" s="84">
        <f t="shared" si="84"/>
        <v>48.5</v>
      </c>
      <c r="F479" s="84">
        <f t="shared" si="84"/>
        <v>0</v>
      </c>
      <c r="G479" s="84">
        <f t="shared" si="84"/>
        <v>11</v>
      </c>
      <c r="H479" s="84">
        <f t="shared" si="84"/>
        <v>0</v>
      </c>
      <c r="I479" s="84">
        <f t="shared" si="84"/>
        <v>229</v>
      </c>
      <c r="J479" s="84">
        <f t="shared" si="84"/>
        <v>185.5</v>
      </c>
      <c r="K479" s="84">
        <f t="shared" si="84"/>
        <v>150</v>
      </c>
      <c r="L479" s="84">
        <f t="shared" si="84"/>
        <v>0</v>
      </c>
      <c r="M479" s="84">
        <f t="shared" si="84"/>
        <v>106.3</v>
      </c>
      <c r="N479" s="84">
        <f t="shared" si="84"/>
        <v>18</v>
      </c>
      <c r="O479" s="84">
        <f t="shared" si="84"/>
        <v>0</v>
      </c>
      <c r="P479" s="84">
        <f t="shared" si="84"/>
        <v>43</v>
      </c>
      <c r="Q479" s="84">
        <f t="shared" si="84"/>
        <v>27</v>
      </c>
      <c r="R479" s="84">
        <f t="shared" si="84"/>
        <v>10</v>
      </c>
      <c r="S479" s="84">
        <f t="shared" si="84"/>
        <v>27</v>
      </c>
      <c r="T479" s="84">
        <f t="shared" si="84"/>
        <v>502</v>
      </c>
      <c r="U479" s="84">
        <f t="shared" si="84"/>
        <v>0</v>
      </c>
      <c r="V479" s="84">
        <f t="shared" si="84"/>
        <v>0</v>
      </c>
      <c r="W479" s="84">
        <f t="shared" si="84"/>
        <v>41</v>
      </c>
      <c r="X479" s="84">
        <f t="shared" si="84"/>
        <v>25</v>
      </c>
      <c r="Y479" s="84">
        <f t="shared" si="84"/>
        <v>97</v>
      </c>
      <c r="Z479" s="84">
        <f t="shared" si="84"/>
        <v>0</v>
      </c>
      <c r="AA479" s="84">
        <f t="shared" si="84"/>
        <v>0</v>
      </c>
      <c r="AB479" s="84">
        <f t="shared" si="84"/>
        <v>0.58</v>
      </c>
      <c r="AC479" s="84">
        <f t="shared" si="84"/>
        <v>2.4</v>
      </c>
      <c r="AD479" s="84">
        <f t="shared" si="84"/>
        <v>0</v>
      </c>
      <c r="AE479" s="84">
        <f t="shared" si="84"/>
        <v>1.5</v>
      </c>
    </row>
    <row r="480" spans="1:31" ht="77.25" customHeight="1" thickBot="1">
      <c r="A480" s="150" t="s">
        <v>40</v>
      </c>
      <c r="B480" s="151"/>
      <c r="C480" s="151"/>
      <c r="D480" s="151"/>
      <c r="E480" s="151"/>
      <c r="F480" s="151"/>
      <c r="G480" s="151"/>
      <c r="H480" s="151"/>
      <c r="I480" s="151"/>
      <c r="J480" s="151"/>
      <c r="K480" s="151"/>
      <c r="L480" s="151"/>
      <c r="M480" s="151"/>
      <c r="N480" s="151"/>
      <c r="O480" s="151"/>
      <c r="P480" s="151"/>
      <c r="Q480" s="151"/>
      <c r="R480" s="151"/>
      <c r="S480" s="151"/>
      <c r="T480" s="151"/>
      <c r="U480" s="151"/>
      <c r="V480" s="151"/>
      <c r="W480" s="151"/>
      <c r="X480" s="151"/>
      <c r="Y480" s="151"/>
      <c r="Z480" s="151"/>
      <c r="AA480" s="151"/>
      <c r="AB480" s="151"/>
      <c r="AC480" s="151"/>
      <c r="AD480" s="151"/>
      <c r="AE480" s="152"/>
    </row>
    <row r="481" spans="1:31" ht="65.25" thickBot="1">
      <c r="A481" s="150" t="s">
        <v>91</v>
      </c>
      <c r="B481" s="151"/>
      <c r="C481" s="151"/>
      <c r="D481" s="151"/>
      <c r="E481" s="151"/>
      <c r="F481" s="151"/>
      <c r="G481" s="151"/>
      <c r="H481" s="151"/>
      <c r="I481" s="151"/>
      <c r="J481" s="151"/>
      <c r="K481" s="151"/>
      <c r="L481" s="151"/>
      <c r="M481" s="151"/>
      <c r="N481" s="151"/>
      <c r="O481" s="151"/>
      <c r="P481" s="151"/>
      <c r="Q481" s="151"/>
      <c r="R481" s="151"/>
      <c r="S481" s="151"/>
      <c r="T481" s="151"/>
      <c r="U481" s="151"/>
      <c r="V481" s="151"/>
      <c r="W481" s="151"/>
      <c r="X481" s="151"/>
      <c r="Y481" s="151"/>
      <c r="Z481" s="151"/>
      <c r="AA481" s="151"/>
      <c r="AB481" s="151"/>
      <c r="AC481" s="151"/>
      <c r="AD481" s="151"/>
      <c r="AE481" s="152"/>
    </row>
    <row r="482" spans="1:31" ht="46.5" customHeight="1">
      <c r="A482" s="166" t="s">
        <v>30</v>
      </c>
      <c r="B482" s="168" t="s">
        <v>23</v>
      </c>
      <c r="C482" s="153" t="s">
        <v>116</v>
      </c>
      <c r="D482" s="153" t="s">
        <v>117</v>
      </c>
      <c r="E482" s="153" t="s">
        <v>130</v>
      </c>
      <c r="F482" s="153" t="s">
        <v>119</v>
      </c>
      <c r="G482" s="153" t="s">
        <v>131</v>
      </c>
      <c r="H482" s="153" t="s">
        <v>132</v>
      </c>
      <c r="I482" s="153" t="s">
        <v>110</v>
      </c>
      <c r="J482" s="153" t="s">
        <v>257</v>
      </c>
      <c r="K482" s="140"/>
      <c r="L482" s="140"/>
      <c r="M482" s="153" t="s">
        <v>142</v>
      </c>
      <c r="N482" s="153" t="s">
        <v>79</v>
      </c>
      <c r="O482" s="153" t="s">
        <v>139</v>
      </c>
      <c r="P482" s="153" t="s">
        <v>80</v>
      </c>
      <c r="Q482" s="153" t="s">
        <v>124</v>
      </c>
      <c r="R482" s="153" t="s">
        <v>81</v>
      </c>
      <c r="S482" s="153" t="s">
        <v>134</v>
      </c>
      <c r="T482" s="153" t="s">
        <v>135</v>
      </c>
      <c r="U482" s="153" t="s">
        <v>136</v>
      </c>
      <c r="V482" s="140"/>
      <c r="W482" s="153" t="s">
        <v>113</v>
      </c>
      <c r="X482" s="153" t="s">
        <v>129</v>
      </c>
      <c r="Y482" s="153" t="s">
        <v>84</v>
      </c>
      <c r="Z482" s="153" t="s">
        <v>82</v>
      </c>
      <c r="AA482" s="153" t="s">
        <v>83</v>
      </c>
      <c r="AB482" s="153" t="s">
        <v>85</v>
      </c>
      <c r="AC482" s="140"/>
      <c r="AD482" s="158" t="s">
        <v>78</v>
      </c>
      <c r="AE482" s="153" t="s">
        <v>137</v>
      </c>
    </row>
    <row r="483" spans="1:31" ht="409.5" thickBot="1">
      <c r="A483" s="167"/>
      <c r="B483" s="169"/>
      <c r="C483" s="154"/>
      <c r="D483" s="154"/>
      <c r="E483" s="154"/>
      <c r="F483" s="154"/>
      <c r="G483" s="154"/>
      <c r="H483" s="154"/>
      <c r="I483" s="154"/>
      <c r="J483" s="154"/>
      <c r="K483" s="141" t="s">
        <v>133</v>
      </c>
      <c r="L483" s="141" t="s">
        <v>143</v>
      </c>
      <c r="M483" s="154"/>
      <c r="N483" s="154"/>
      <c r="O483" s="154"/>
      <c r="P483" s="154"/>
      <c r="Q483" s="154"/>
      <c r="R483" s="154"/>
      <c r="S483" s="154"/>
      <c r="T483" s="154"/>
      <c r="U483" s="154"/>
      <c r="V483" s="141" t="s">
        <v>140</v>
      </c>
      <c r="W483" s="154"/>
      <c r="X483" s="154"/>
      <c r="Y483" s="154"/>
      <c r="Z483" s="154"/>
      <c r="AA483" s="154"/>
      <c r="AB483" s="154"/>
      <c r="AC483" s="141" t="s">
        <v>77</v>
      </c>
      <c r="AD483" s="159"/>
      <c r="AE483" s="154"/>
    </row>
    <row r="484" spans="1:31" ht="65.25" thickBot="1">
      <c r="A484" s="145">
        <v>1</v>
      </c>
      <c r="B484" s="79">
        <v>2</v>
      </c>
      <c r="C484" s="80" t="s">
        <v>54</v>
      </c>
      <c r="D484" s="81">
        <v>4</v>
      </c>
      <c r="E484" s="80">
        <v>5</v>
      </c>
      <c r="F484" s="80">
        <v>6</v>
      </c>
      <c r="G484" s="80">
        <v>7</v>
      </c>
      <c r="H484" s="80">
        <v>8</v>
      </c>
      <c r="I484" s="80" t="s">
        <v>55</v>
      </c>
      <c r="J484" s="81">
        <v>10</v>
      </c>
      <c r="K484" s="80">
        <v>11</v>
      </c>
      <c r="L484" s="108">
        <v>12</v>
      </c>
      <c r="M484" s="80">
        <v>13</v>
      </c>
      <c r="N484" s="80">
        <v>14</v>
      </c>
      <c r="O484" s="80">
        <v>15</v>
      </c>
      <c r="P484" s="80">
        <v>16</v>
      </c>
      <c r="Q484" s="143">
        <v>17</v>
      </c>
      <c r="R484" s="80">
        <v>18</v>
      </c>
      <c r="S484" s="143">
        <v>19</v>
      </c>
      <c r="T484" s="80">
        <v>20</v>
      </c>
      <c r="U484" s="143">
        <v>21</v>
      </c>
      <c r="V484" s="143">
        <v>22</v>
      </c>
      <c r="W484" s="80">
        <v>23</v>
      </c>
      <c r="X484" s="80">
        <v>24</v>
      </c>
      <c r="Y484" s="143">
        <v>25</v>
      </c>
      <c r="Z484" s="80">
        <v>26</v>
      </c>
      <c r="AA484" s="80">
        <v>27</v>
      </c>
      <c r="AB484" s="80">
        <v>28</v>
      </c>
      <c r="AC484" s="143">
        <v>29</v>
      </c>
      <c r="AD484" s="142">
        <v>30</v>
      </c>
      <c r="AE484" s="80">
        <v>32</v>
      </c>
    </row>
    <row r="485" spans="1:31" ht="65.25" thickBot="1">
      <c r="A485" s="150" t="s">
        <v>5</v>
      </c>
      <c r="B485" s="151"/>
      <c r="C485" s="151"/>
      <c r="D485" s="151"/>
      <c r="E485" s="151"/>
      <c r="F485" s="151"/>
      <c r="G485" s="151"/>
      <c r="H485" s="151"/>
      <c r="I485" s="151"/>
      <c r="J485" s="151"/>
      <c r="K485" s="151"/>
      <c r="L485" s="151"/>
      <c r="M485" s="151"/>
      <c r="N485" s="151"/>
      <c r="O485" s="151"/>
      <c r="P485" s="151"/>
      <c r="Q485" s="151"/>
      <c r="R485" s="151"/>
      <c r="S485" s="151"/>
      <c r="T485" s="151"/>
      <c r="U485" s="151"/>
      <c r="V485" s="151"/>
      <c r="W485" s="151"/>
      <c r="X485" s="151"/>
      <c r="Y485" s="151"/>
      <c r="Z485" s="151"/>
      <c r="AA485" s="151"/>
      <c r="AB485" s="151"/>
      <c r="AC485" s="151"/>
      <c r="AD485" s="151"/>
      <c r="AE485" s="152"/>
    </row>
    <row r="486" spans="1:31" ht="129.75" thickBot="1">
      <c r="A486" s="84">
        <v>84</v>
      </c>
      <c r="B486" s="25" t="s">
        <v>204</v>
      </c>
      <c r="C486" s="84"/>
      <c r="D486" s="85"/>
      <c r="E486" s="85"/>
      <c r="F486" s="85"/>
      <c r="G486" s="85">
        <v>18</v>
      </c>
      <c r="H486" s="86"/>
      <c r="I486" s="86"/>
      <c r="J486" s="86"/>
      <c r="K486" s="86"/>
      <c r="L486" s="86"/>
      <c r="M486" s="86"/>
      <c r="N486" s="86"/>
      <c r="O486" s="86"/>
      <c r="P486" s="86">
        <v>5</v>
      </c>
      <c r="Q486" s="86">
        <v>2</v>
      </c>
      <c r="R486" s="86"/>
      <c r="S486" s="86"/>
      <c r="T486" s="86">
        <v>136</v>
      </c>
      <c r="U486" s="87"/>
      <c r="V486" s="84"/>
      <c r="W486" s="87"/>
      <c r="X486" s="84"/>
      <c r="Y486" s="86"/>
      <c r="Z486" s="86"/>
      <c r="AA486" s="86"/>
      <c r="AB486" s="86"/>
      <c r="AC486" s="86"/>
      <c r="AD486" s="87"/>
      <c r="AE486" s="83"/>
    </row>
    <row r="487" spans="1:31" ht="65.25" thickBot="1">
      <c r="A487" s="83">
        <v>15</v>
      </c>
      <c r="B487" s="22" t="s">
        <v>224</v>
      </c>
      <c r="C487" s="84"/>
      <c r="D487" s="85"/>
      <c r="E487" s="85"/>
      <c r="F487" s="85"/>
      <c r="G487" s="85"/>
      <c r="H487" s="86"/>
      <c r="I487" s="86"/>
      <c r="J487" s="86"/>
      <c r="K487" s="86"/>
      <c r="L487" s="86"/>
      <c r="M487" s="86"/>
      <c r="N487" s="86"/>
      <c r="O487" s="87"/>
      <c r="P487" s="84">
        <v>11</v>
      </c>
      <c r="Q487" s="87"/>
      <c r="R487" s="84"/>
      <c r="S487" s="87"/>
      <c r="T487" s="84">
        <v>100</v>
      </c>
      <c r="U487" s="87"/>
      <c r="V487" s="83"/>
      <c r="W487" s="84"/>
      <c r="X487" s="83"/>
      <c r="Y487" s="87"/>
      <c r="Z487" s="84"/>
      <c r="AA487" s="84"/>
      <c r="AB487" s="87"/>
      <c r="AC487" s="83"/>
      <c r="AD487" s="88">
        <v>1.3</v>
      </c>
      <c r="AE487" s="84"/>
    </row>
    <row r="488" spans="1:31" ht="129.75" thickBot="1">
      <c r="A488" s="83">
        <v>3</v>
      </c>
      <c r="B488" s="22" t="s">
        <v>38</v>
      </c>
      <c r="C488" s="86">
        <v>25</v>
      </c>
      <c r="D488" s="86"/>
      <c r="E488" s="86"/>
      <c r="F488" s="86"/>
      <c r="G488" s="86"/>
      <c r="H488" s="86"/>
      <c r="I488" s="86"/>
      <c r="J488" s="86"/>
      <c r="K488" s="86"/>
      <c r="L488" s="86"/>
      <c r="M488" s="86"/>
      <c r="N488" s="86"/>
      <c r="O488" s="83"/>
      <c r="P488" s="87"/>
      <c r="Q488" s="84">
        <v>5</v>
      </c>
      <c r="R488" s="87"/>
      <c r="S488" s="83"/>
      <c r="T488" s="87"/>
      <c r="U488" s="90"/>
      <c r="V488" s="83"/>
      <c r="W488" s="84"/>
      <c r="X488" s="87"/>
      <c r="Y488" s="83"/>
      <c r="Z488" s="87"/>
      <c r="AA488" s="83">
        <v>13</v>
      </c>
      <c r="AB488" s="87"/>
      <c r="AC488" s="83"/>
      <c r="AD488" s="87"/>
      <c r="AE488" s="83"/>
    </row>
    <row r="489" spans="1:31" ht="65.25" thickBot="1">
      <c r="A489" s="83"/>
      <c r="B489" s="22" t="s">
        <v>6</v>
      </c>
      <c r="C489" s="84">
        <f>SUM(C486+C487+C488)</f>
        <v>25</v>
      </c>
      <c r="D489" s="84">
        <f aca="true" t="shared" si="85" ref="D489:AE489">SUM(D486+D487+D488)</f>
        <v>0</v>
      </c>
      <c r="E489" s="84">
        <f t="shared" si="85"/>
        <v>0</v>
      </c>
      <c r="F489" s="84">
        <f t="shared" si="85"/>
        <v>0</v>
      </c>
      <c r="G489" s="84">
        <f t="shared" si="85"/>
        <v>18</v>
      </c>
      <c r="H489" s="84">
        <f t="shared" si="85"/>
        <v>0</v>
      </c>
      <c r="I489" s="84">
        <f t="shared" si="85"/>
        <v>0</v>
      </c>
      <c r="J489" s="84">
        <f t="shared" si="85"/>
        <v>0</v>
      </c>
      <c r="K489" s="84">
        <f t="shared" si="85"/>
        <v>0</v>
      </c>
      <c r="L489" s="84">
        <f t="shared" si="85"/>
        <v>0</v>
      </c>
      <c r="M489" s="84">
        <f t="shared" si="85"/>
        <v>0</v>
      </c>
      <c r="N489" s="84">
        <f t="shared" si="85"/>
        <v>0</v>
      </c>
      <c r="O489" s="84">
        <f t="shared" si="85"/>
        <v>0</v>
      </c>
      <c r="P489" s="84">
        <f t="shared" si="85"/>
        <v>16</v>
      </c>
      <c r="Q489" s="84">
        <f t="shared" si="85"/>
        <v>7</v>
      </c>
      <c r="R489" s="84">
        <f t="shared" si="85"/>
        <v>0</v>
      </c>
      <c r="S489" s="84">
        <f t="shared" si="85"/>
        <v>0</v>
      </c>
      <c r="T489" s="84">
        <f t="shared" si="85"/>
        <v>236</v>
      </c>
      <c r="U489" s="84">
        <f t="shared" si="85"/>
        <v>0</v>
      </c>
      <c r="V489" s="84">
        <f t="shared" si="85"/>
        <v>0</v>
      </c>
      <c r="W489" s="84">
        <f t="shared" si="85"/>
        <v>0</v>
      </c>
      <c r="X489" s="84">
        <f t="shared" si="85"/>
        <v>0</v>
      </c>
      <c r="Y489" s="84">
        <f t="shared" si="85"/>
        <v>0</v>
      </c>
      <c r="Z489" s="84">
        <f t="shared" si="85"/>
        <v>0</v>
      </c>
      <c r="AA489" s="84">
        <f t="shared" si="85"/>
        <v>13</v>
      </c>
      <c r="AB489" s="84">
        <f t="shared" si="85"/>
        <v>0</v>
      </c>
      <c r="AC489" s="84">
        <f t="shared" si="85"/>
        <v>0</v>
      </c>
      <c r="AD489" s="88">
        <f t="shared" si="85"/>
        <v>1.3</v>
      </c>
      <c r="AE489" s="84">
        <f t="shared" si="85"/>
        <v>0</v>
      </c>
    </row>
    <row r="490" spans="1:31" ht="65.25" thickBot="1">
      <c r="A490" s="155" t="s">
        <v>53</v>
      </c>
      <c r="B490" s="156"/>
      <c r="C490" s="156"/>
      <c r="D490" s="156"/>
      <c r="E490" s="156"/>
      <c r="F490" s="156"/>
      <c r="G490" s="156"/>
      <c r="H490" s="156"/>
      <c r="I490" s="156"/>
      <c r="J490" s="156"/>
      <c r="K490" s="156"/>
      <c r="L490" s="156"/>
      <c r="M490" s="156"/>
      <c r="N490" s="156"/>
      <c r="O490" s="156"/>
      <c r="P490" s="156"/>
      <c r="Q490" s="156"/>
      <c r="R490" s="156"/>
      <c r="S490" s="156"/>
      <c r="T490" s="156"/>
      <c r="U490" s="156"/>
      <c r="V490" s="156"/>
      <c r="W490" s="156"/>
      <c r="X490" s="156"/>
      <c r="Y490" s="156"/>
      <c r="Z490" s="156"/>
      <c r="AA490" s="156"/>
      <c r="AB490" s="156"/>
      <c r="AC490" s="156"/>
      <c r="AD490" s="156"/>
      <c r="AE490" s="157"/>
    </row>
    <row r="491" spans="1:31" ht="65.25" thickBot="1">
      <c r="A491" s="83" t="s">
        <v>32</v>
      </c>
      <c r="B491" s="25" t="s">
        <v>182</v>
      </c>
      <c r="C491" s="84"/>
      <c r="D491" s="86"/>
      <c r="E491" s="86"/>
      <c r="F491" s="86"/>
      <c r="G491" s="86"/>
      <c r="H491" s="86"/>
      <c r="I491" s="86"/>
      <c r="J491" s="86"/>
      <c r="K491" s="86">
        <v>150</v>
      </c>
      <c r="L491" s="86"/>
      <c r="M491" s="86"/>
      <c r="N491" s="86"/>
      <c r="O491" s="87"/>
      <c r="P491" s="84"/>
      <c r="Q491" s="87"/>
      <c r="R491" s="84"/>
      <c r="S491" s="87"/>
      <c r="T491" s="84"/>
      <c r="U491" s="87"/>
      <c r="V491" s="84"/>
      <c r="W491" s="84"/>
      <c r="X491" s="87"/>
      <c r="Y491" s="84"/>
      <c r="Z491" s="84"/>
      <c r="AA491" s="87"/>
      <c r="AB491" s="84"/>
      <c r="AC491" s="87"/>
      <c r="AD491" s="88"/>
      <c r="AE491" s="83"/>
    </row>
    <row r="492" spans="1:31" ht="65.25" thickBot="1">
      <c r="A492" s="83"/>
      <c r="B492" s="22" t="s">
        <v>29</v>
      </c>
      <c r="C492" s="86">
        <f>SUM(C491)</f>
        <v>0</v>
      </c>
      <c r="D492" s="86">
        <f>SUM(D491)</f>
        <v>0</v>
      </c>
      <c r="E492" s="86">
        <f aca="true" t="shared" si="86" ref="E492:AD492">SUM(E491)</f>
        <v>0</v>
      </c>
      <c r="F492" s="86">
        <f t="shared" si="86"/>
        <v>0</v>
      </c>
      <c r="G492" s="86">
        <f t="shared" si="86"/>
        <v>0</v>
      </c>
      <c r="H492" s="86">
        <f t="shared" si="86"/>
        <v>0</v>
      </c>
      <c r="I492" s="86">
        <f t="shared" si="86"/>
        <v>0</v>
      </c>
      <c r="J492" s="86">
        <f t="shared" si="86"/>
        <v>0</v>
      </c>
      <c r="K492" s="86">
        <f t="shared" si="86"/>
        <v>150</v>
      </c>
      <c r="L492" s="86">
        <f t="shared" si="86"/>
        <v>0</v>
      </c>
      <c r="M492" s="86">
        <f t="shared" si="86"/>
        <v>0</v>
      </c>
      <c r="N492" s="86">
        <f t="shared" si="86"/>
        <v>0</v>
      </c>
      <c r="O492" s="86">
        <f t="shared" si="86"/>
        <v>0</v>
      </c>
      <c r="P492" s="86">
        <f t="shared" si="86"/>
        <v>0</v>
      </c>
      <c r="Q492" s="86">
        <f t="shared" si="86"/>
        <v>0</v>
      </c>
      <c r="R492" s="86">
        <f t="shared" si="86"/>
        <v>0</v>
      </c>
      <c r="S492" s="86">
        <f t="shared" si="86"/>
        <v>0</v>
      </c>
      <c r="T492" s="86">
        <f t="shared" si="86"/>
        <v>0</v>
      </c>
      <c r="U492" s="86">
        <f t="shared" si="86"/>
        <v>0</v>
      </c>
      <c r="V492" s="86">
        <f t="shared" si="86"/>
        <v>0</v>
      </c>
      <c r="W492" s="86">
        <f t="shared" si="86"/>
        <v>0</v>
      </c>
      <c r="X492" s="86">
        <f t="shared" si="86"/>
        <v>0</v>
      </c>
      <c r="Y492" s="86">
        <f t="shared" si="86"/>
        <v>0</v>
      </c>
      <c r="Z492" s="86">
        <f t="shared" si="86"/>
        <v>0</v>
      </c>
      <c r="AA492" s="86">
        <f t="shared" si="86"/>
        <v>0</v>
      </c>
      <c r="AB492" s="86">
        <f t="shared" si="86"/>
        <v>0</v>
      </c>
      <c r="AC492" s="86">
        <f t="shared" si="86"/>
        <v>0</v>
      </c>
      <c r="AD492" s="87">
        <f t="shared" si="86"/>
        <v>0</v>
      </c>
      <c r="AE492" s="83">
        <f>SUM(AE491)</f>
        <v>0</v>
      </c>
    </row>
    <row r="493" spans="1:31" ht="65.25" thickBot="1">
      <c r="A493" s="155" t="s">
        <v>31</v>
      </c>
      <c r="B493" s="156"/>
      <c r="C493" s="156"/>
      <c r="D493" s="156"/>
      <c r="E493" s="156"/>
      <c r="F493" s="156"/>
      <c r="G493" s="156"/>
      <c r="H493" s="156"/>
      <c r="I493" s="156"/>
      <c r="J493" s="156"/>
      <c r="K493" s="156"/>
      <c r="L493" s="156"/>
      <c r="M493" s="156"/>
      <c r="N493" s="156"/>
      <c r="O493" s="156"/>
      <c r="P493" s="156"/>
      <c r="Q493" s="156"/>
      <c r="R493" s="156"/>
      <c r="S493" s="156"/>
      <c r="T493" s="156"/>
      <c r="U493" s="156"/>
      <c r="V493" s="156"/>
      <c r="W493" s="156"/>
      <c r="X493" s="156"/>
      <c r="Y493" s="156"/>
      <c r="Z493" s="156"/>
      <c r="AA493" s="156"/>
      <c r="AB493" s="156"/>
      <c r="AC493" s="156"/>
      <c r="AD493" s="156"/>
      <c r="AE493" s="157"/>
    </row>
    <row r="494" spans="1:31" ht="65.25" thickBot="1">
      <c r="A494" s="84">
        <v>51</v>
      </c>
      <c r="B494" s="22" t="s">
        <v>226</v>
      </c>
      <c r="C494" s="84"/>
      <c r="D494" s="86"/>
      <c r="E494" s="86"/>
      <c r="F494" s="86"/>
      <c r="G494" s="86"/>
      <c r="H494" s="86"/>
      <c r="I494" s="86"/>
      <c r="J494" s="86">
        <v>56.5</v>
      </c>
      <c r="K494" s="86"/>
      <c r="L494" s="86"/>
      <c r="M494" s="86"/>
      <c r="N494" s="86"/>
      <c r="O494" s="87"/>
      <c r="P494" s="83"/>
      <c r="Q494" s="87"/>
      <c r="R494" s="83">
        <v>5</v>
      </c>
      <c r="S494" s="87"/>
      <c r="T494" s="83"/>
      <c r="U494" s="87"/>
      <c r="V494" s="84"/>
      <c r="W494" s="83"/>
      <c r="X494" s="87"/>
      <c r="Y494" s="84"/>
      <c r="Z494" s="83"/>
      <c r="AA494" s="87"/>
      <c r="AB494" s="83"/>
      <c r="AC494" s="84"/>
      <c r="AD494" s="87"/>
      <c r="AE494" s="84"/>
    </row>
    <row r="495" spans="1:31" ht="129.75" thickBot="1">
      <c r="A495" s="83">
        <v>57</v>
      </c>
      <c r="B495" s="22" t="s">
        <v>236</v>
      </c>
      <c r="C495" s="84"/>
      <c r="D495" s="86"/>
      <c r="E495" s="86">
        <v>8</v>
      </c>
      <c r="F495" s="86"/>
      <c r="G495" s="86"/>
      <c r="H495" s="86"/>
      <c r="I495" s="86">
        <v>35</v>
      </c>
      <c r="J495" s="86">
        <v>19</v>
      </c>
      <c r="K495" s="86"/>
      <c r="L495" s="86"/>
      <c r="M495" s="86"/>
      <c r="N495" s="86"/>
      <c r="O495" s="87"/>
      <c r="P495" s="83"/>
      <c r="Q495" s="87">
        <v>2.6</v>
      </c>
      <c r="R495" s="83"/>
      <c r="S495" s="87">
        <v>2</v>
      </c>
      <c r="T495" s="83">
        <v>12</v>
      </c>
      <c r="U495" s="87"/>
      <c r="V495" s="83"/>
      <c r="W495" s="83"/>
      <c r="X495" s="87">
        <v>25</v>
      </c>
      <c r="Y495" s="83"/>
      <c r="Z495" s="84"/>
      <c r="AA495" s="87"/>
      <c r="AB495" s="83"/>
      <c r="AC495" s="83"/>
      <c r="AD495" s="87"/>
      <c r="AE495" s="83"/>
    </row>
    <row r="496" spans="1:31" ht="65.25" thickBot="1">
      <c r="A496" s="83">
        <v>81</v>
      </c>
      <c r="B496" s="22" t="s">
        <v>209</v>
      </c>
      <c r="C496" s="84"/>
      <c r="D496" s="86"/>
      <c r="E496" s="86">
        <v>1.8</v>
      </c>
      <c r="F496" s="86"/>
      <c r="G496" s="86"/>
      <c r="H496" s="86"/>
      <c r="I496" s="86"/>
      <c r="J496" s="86">
        <v>186.6</v>
      </c>
      <c r="K496" s="86"/>
      <c r="L496" s="86"/>
      <c r="M496" s="86"/>
      <c r="N496" s="86"/>
      <c r="O496" s="86"/>
      <c r="P496" s="86">
        <v>4</v>
      </c>
      <c r="Q496" s="86"/>
      <c r="R496" s="86">
        <v>4</v>
      </c>
      <c r="S496" s="86"/>
      <c r="T496" s="86"/>
      <c r="U496" s="86"/>
      <c r="V496" s="86"/>
      <c r="W496" s="86">
        <v>98</v>
      </c>
      <c r="X496" s="86"/>
      <c r="Y496" s="86"/>
      <c r="Z496" s="86"/>
      <c r="AA496" s="86"/>
      <c r="AB496" s="86"/>
      <c r="AC496" s="86"/>
      <c r="AD496" s="87"/>
      <c r="AE496" s="83"/>
    </row>
    <row r="497" spans="1:31" ht="65.25" thickBot="1">
      <c r="A497" s="84">
        <v>54</v>
      </c>
      <c r="B497" s="23" t="s">
        <v>153</v>
      </c>
      <c r="C497" s="84"/>
      <c r="D497" s="85"/>
      <c r="E497" s="85"/>
      <c r="F497" s="85"/>
      <c r="G497" s="85"/>
      <c r="H497" s="86"/>
      <c r="I497" s="86"/>
      <c r="J497" s="86"/>
      <c r="K497" s="86"/>
      <c r="L497" s="86"/>
      <c r="M497" s="86">
        <v>40</v>
      </c>
      <c r="N497" s="86"/>
      <c r="O497" s="87"/>
      <c r="P497" s="83">
        <v>13</v>
      </c>
      <c r="Q497" s="87"/>
      <c r="R497" s="84"/>
      <c r="S497" s="87"/>
      <c r="T497" s="84"/>
      <c r="U497" s="84"/>
      <c r="V497" s="87"/>
      <c r="W497" s="84"/>
      <c r="X497" s="87"/>
      <c r="Y497" s="84"/>
      <c r="Z497" s="84"/>
      <c r="AA497" s="87"/>
      <c r="AB497" s="84"/>
      <c r="AC497" s="84"/>
      <c r="AD497" s="87"/>
      <c r="AE497" s="84"/>
    </row>
    <row r="498" spans="1:31" ht="129.75" thickBot="1">
      <c r="A498" s="83" t="s">
        <v>32</v>
      </c>
      <c r="B498" s="22" t="s">
        <v>56</v>
      </c>
      <c r="C498" s="84">
        <v>25</v>
      </c>
      <c r="D498" s="86"/>
      <c r="E498" s="86"/>
      <c r="F498" s="86"/>
      <c r="G498" s="86"/>
      <c r="H498" s="86"/>
      <c r="I498" s="86"/>
      <c r="J498" s="86"/>
      <c r="K498" s="86"/>
      <c r="L498" s="86"/>
      <c r="M498" s="86"/>
      <c r="N498" s="86"/>
      <c r="O498" s="86"/>
      <c r="P498" s="86"/>
      <c r="Q498" s="86"/>
      <c r="R498" s="86"/>
      <c r="S498" s="86"/>
      <c r="T498" s="86"/>
      <c r="U498" s="87"/>
      <c r="V498" s="83"/>
      <c r="W498" s="86"/>
      <c r="X498" s="87"/>
      <c r="Y498" s="83"/>
      <c r="Z498" s="86"/>
      <c r="AA498" s="86"/>
      <c r="AB498" s="86"/>
      <c r="AC498" s="86"/>
      <c r="AD498" s="87"/>
      <c r="AE498" s="83"/>
    </row>
    <row r="499" spans="1:31" ht="129.75" thickBot="1">
      <c r="A499" s="83" t="s">
        <v>32</v>
      </c>
      <c r="B499" s="22" t="s">
        <v>58</v>
      </c>
      <c r="C499" s="84"/>
      <c r="D499" s="86">
        <v>50</v>
      </c>
      <c r="E499" s="86"/>
      <c r="F499" s="86"/>
      <c r="G499" s="86"/>
      <c r="H499" s="86"/>
      <c r="I499" s="86"/>
      <c r="J499" s="86"/>
      <c r="K499" s="86"/>
      <c r="L499" s="86"/>
      <c r="M499" s="8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7"/>
      <c r="AE499" s="83"/>
    </row>
    <row r="500" spans="1:31" ht="65.25" thickBot="1">
      <c r="A500" s="83"/>
      <c r="B500" s="22" t="s">
        <v>6</v>
      </c>
      <c r="C500" s="84">
        <f aca="true" t="shared" si="87" ref="C500:AE500">SUM(C494:C499)</f>
        <v>25</v>
      </c>
      <c r="D500" s="84">
        <f t="shared" si="87"/>
        <v>50</v>
      </c>
      <c r="E500" s="84">
        <f t="shared" si="87"/>
        <v>9.8</v>
      </c>
      <c r="F500" s="84">
        <f t="shared" si="87"/>
        <v>0</v>
      </c>
      <c r="G500" s="84">
        <f t="shared" si="87"/>
        <v>0</v>
      </c>
      <c r="H500" s="84">
        <f t="shared" si="87"/>
        <v>0</v>
      </c>
      <c r="I500" s="84">
        <f t="shared" si="87"/>
        <v>35</v>
      </c>
      <c r="J500" s="84">
        <f t="shared" si="87"/>
        <v>262.1</v>
      </c>
      <c r="K500" s="84">
        <f t="shared" si="87"/>
        <v>0</v>
      </c>
      <c r="L500" s="84">
        <f t="shared" si="87"/>
        <v>0</v>
      </c>
      <c r="M500" s="84">
        <f t="shared" si="87"/>
        <v>40</v>
      </c>
      <c r="N500" s="84">
        <f t="shared" si="87"/>
        <v>0</v>
      </c>
      <c r="O500" s="84">
        <f t="shared" si="87"/>
        <v>0</v>
      </c>
      <c r="P500" s="84">
        <f t="shared" si="87"/>
        <v>17</v>
      </c>
      <c r="Q500" s="84">
        <f t="shared" si="87"/>
        <v>2.6</v>
      </c>
      <c r="R500" s="84">
        <f t="shared" si="87"/>
        <v>9</v>
      </c>
      <c r="S500" s="84">
        <f t="shared" si="87"/>
        <v>2</v>
      </c>
      <c r="T500" s="84">
        <f t="shared" si="87"/>
        <v>12</v>
      </c>
      <c r="U500" s="84">
        <f t="shared" si="87"/>
        <v>0</v>
      </c>
      <c r="V500" s="84">
        <f t="shared" si="87"/>
        <v>0</v>
      </c>
      <c r="W500" s="84">
        <f t="shared" si="87"/>
        <v>98</v>
      </c>
      <c r="X500" s="84">
        <f t="shared" si="87"/>
        <v>25</v>
      </c>
      <c r="Y500" s="84">
        <f t="shared" si="87"/>
        <v>0</v>
      </c>
      <c r="Z500" s="84">
        <f t="shared" si="87"/>
        <v>0</v>
      </c>
      <c r="AA500" s="84">
        <f t="shared" si="87"/>
        <v>0</v>
      </c>
      <c r="AB500" s="84">
        <f t="shared" si="87"/>
        <v>0</v>
      </c>
      <c r="AC500" s="84">
        <f t="shared" si="87"/>
        <v>0</v>
      </c>
      <c r="AD500" s="88">
        <f t="shared" si="87"/>
        <v>0</v>
      </c>
      <c r="AE500" s="84">
        <f t="shared" si="87"/>
        <v>0</v>
      </c>
    </row>
    <row r="501" spans="1:31" ht="65.25" thickBot="1">
      <c r="A501" s="150" t="s">
        <v>145</v>
      </c>
      <c r="B501" s="151"/>
      <c r="C501" s="151"/>
      <c r="D501" s="151"/>
      <c r="E501" s="151"/>
      <c r="F501" s="151"/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/>
      <c r="U501" s="151"/>
      <c r="V501" s="151"/>
      <c r="W501" s="151"/>
      <c r="X501" s="151"/>
      <c r="Y501" s="151"/>
      <c r="Z501" s="151"/>
      <c r="AA501" s="151"/>
      <c r="AB501" s="151"/>
      <c r="AC501" s="151"/>
      <c r="AD501" s="151"/>
      <c r="AE501" s="152"/>
    </row>
    <row r="502" spans="1:31" ht="129.75" thickBot="1">
      <c r="A502" s="92">
        <v>21.1</v>
      </c>
      <c r="B502" s="27" t="s">
        <v>172</v>
      </c>
      <c r="C502" s="83"/>
      <c r="D502" s="86"/>
      <c r="E502" s="83"/>
      <c r="F502" s="83"/>
      <c r="G502" s="83"/>
      <c r="H502" s="86"/>
      <c r="I502" s="86"/>
      <c r="J502" s="86"/>
      <c r="K502" s="86"/>
      <c r="L502" s="86"/>
      <c r="M502" s="86"/>
      <c r="N502" s="86"/>
      <c r="O502" s="87"/>
      <c r="P502" s="84"/>
      <c r="Q502" s="87"/>
      <c r="R502" s="84"/>
      <c r="S502" s="87"/>
      <c r="T502" s="84">
        <v>185</v>
      </c>
      <c r="U502" s="87"/>
      <c r="V502" s="84"/>
      <c r="W502" s="84"/>
      <c r="X502" s="87"/>
      <c r="Y502" s="84"/>
      <c r="Z502" s="84"/>
      <c r="AA502" s="87"/>
      <c r="AB502" s="84"/>
      <c r="AC502" s="87"/>
      <c r="AD502" s="88"/>
      <c r="AE502" s="83"/>
    </row>
    <row r="503" spans="1:31" ht="65.25" thickBot="1">
      <c r="A503" s="84">
        <v>74</v>
      </c>
      <c r="B503" s="22" t="s">
        <v>221</v>
      </c>
      <c r="C503" s="84"/>
      <c r="D503" s="86"/>
      <c r="E503" s="86">
        <v>20.6</v>
      </c>
      <c r="F503" s="86"/>
      <c r="G503" s="86">
        <v>5</v>
      </c>
      <c r="H503" s="86"/>
      <c r="I503" s="85"/>
      <c r="J503" s="85"/>
      <c r="K503" s="85"/>
      <c r="L503" s="85"/>
      <c r="M503" s="85"/>
      <c r="N503" s="85"/>
      <c r="O503" s="85"/>
      <c r="P503" s="85">
        <v>10</v>
      </c>
      <c r="Q503" s="85">
        <v>4</v>
      </c>
      <c r="R503" s="85">
        <v>1.2</v>
      </c>
      <c r="S503" s="85">
        <v>10</v>
      </c>
      <c r="T503" s="85">
        <v>10</v>
      </c>
      <c r="U503" s="85">
        <v>67</v>
      </c>
      <c r="V503" s="85"/>
      <c r="W503" s="85"/>
      <c r="X503" s="85"/>
      <c r="Y503" s="85"/>
      <c r="Z503" s="85"/>
      <c r="AA503" s="85"/>
      <c r="AB503" s="85"/>
      <c r="AC503" s="85"/>
      <c r="AD503" s="91"/>
      <c r="AE503" s="84"/>
    </row>
    <row r="504" spans="1:31" ht="65.25" thickBot="1">
      <c r="A504" s="84"/>
      <c r="B504" s="22" t="s">
        <v>29</v>
      </c>
      <c r="C504" s="84">
        <f aca="true" t="shared" si="88" ref="C504:AE504">C502+C503</f>
        <v>0</v>
      </c>
      <c r="D504" s="84">
        <f t="shared" si="88"/>
        <v>0</v>
      </c>
      <c r="E504" s="84">
        <f t="shared" si="88"/>
        <v>20.6</v>
      </c>
      <c r="F504" s="84">
        <f t="shared" si="88"/>
        <v>0</v>
      </c>
      <c r="G504" s="84">
        <f t="shared" si="88"/>
        <v>5</v>
      </c>
      <c r="H504" s="84">
        <f t="shared" si="88"/>
        <v>0</v>
      </c>
      <c r="I504" s="84">
        <f t="shared" si="88"/>
        <v>0</v>
      </c>
      <c r="J504" s="84">
        <f t="shared" si="88"/>
        <v>0</v>
      </c>
      <c r="K504" s="84">
        <f t="shared" si="88"/>
        <v>0</v>
      </c>
      <c r="L504" s="84">
        <f t="shared" si="88"/>
        <v>0</v>
      </c>
      <c r="M504" s="84">
        <f t="shared" si="88"/>
        <v>0</v>
      </c>
      <c r="N504" s="84">
        <f t="shared" si="88"/>
        <v>0</v>
      </c>
      <c r="O504" s="84">
        <f t="shared" si="88"/>
        <v>0</v>
      </c>
      <c r="P504" s="84">
        <f t="shared" si="88"/>
        <v>10</v>
      </c>
      <c r="Q504" s="84">
        <f t="shared" si="88"/>
        <v>4</v>
      </c>
      <c r="R504" s="84">
        <f t="shared" si="88"/>
        <v>1.2</v>
      </c>
      <c r="S504" s="84">
        <f t="shared" si="88"/>
        <v>10</v>
      </c>
      <c r="T504" s="84">
        <f t="shared" si="88"/>
        <v>195</v>
      </c>
      <c r="U504" s="84">
        <f t="shared" si="88"/>
        <v>67</v>
      </c>
      <c r="V504" s="84">
        <f t="shared" si="88"/>
        <v>0</v>
      </c>
      <c r="W504" s="84">
        <f t="shared" si="88"/>
        <v>0</v>
      </c>
      <c r="X504" s="84">
        <f t="shared" si="88"/>
        <v>0</v>
      </c>
      <c r="Y504" s="84">
        <f t="shared" si="88"/>
        <v>0</v>
      </c>
      <c r="Z504" s="84">
        <f t="shared" si="88"/>
        <v>0</v>
      </c>
      <c r="AA504" s="84">
        <f t="shared" si="88"/>
        <v>0</v>
      </c>
      <c r="AB504" s="84">
        <f t="shared" si="88"/>
        <v>0</v>
      </c>
      <c r="AC504" s="84">
        <f t="shared" si="88"/>
        <v>0</v>
      </c>
      <c r="AD504" s="84">
        <f t="shared" si="88"/>
        <v>0</v>
      </c>
      <c r="AE504" s="84">
        <f t="shared" si="88"/>
        <v>0</v>
      </c>
    </row>
    <row r="505" spans="1:31" ht="65.25" thickBot="1">
      <c r="A505" s="155" t="s">
        <v>144</v>
      </c>
      <c r="B505" s="156"/>
      <c r="C505" s="156"/>
      <c r="D505" s="156"/>
      <c r="E505" s="156"/>
      <c r="F505" s="156"/>
      <c r="G505" s="156"/>
      <c r="H505" s="156"/>
      <c r="I505" s="156"/>
      <c r="J505" s="156"/>
      <c r="K505" s="156"/>
      <c r="L505" s="156"/>
      <c r="M505" s="156"/>
      <c r="N505" s="156"/>
      <c r="O505" s="156"/>
      <c r="P505" s="156"/>
      <c r="Q505" s="156"/>
      <c r="R505" s="156"/>
      <c r="S505" s="156"/>
      <c r="T505" s="156"/>
      <c r="U505" s="156"/>
      <c r="V505" s="156"/>
      <c r="W505" s="156"/>
      <c r="X505" s="156"/>
      <c r="Y505" s="156"/>
      <c r="Z505" s="156"/>
      <c r="AA505" s="156"/>
      <c r="AB505" s="156"/>
      <c r="AC505" s="156"/>
      <c r="AD505" s="156"/>
      <c r="AE505" s="157"/>
    </row>
    <row r="506" spans="1:31" ht="129.75" thickBot="1">
      <c r="A506" s="83">
        <v>53</v>
      </c>
      <c r="B506" s="22" t="s">
        <v>174</v>
      </c>
      <c r="C506" s="84"/>
      <c r="D506" s="86"/>
      <c r="E506" s="86"/>
      <c r="F506" s="86"/>
      <c r="G506" s="86"/>
      <c r="H506" s="86"/>
      <c r="I506" s="86">
        <v>35</v>
      </c>
      <c r="J506" s="86">
        <v>39</v>
      </c>
      <c r="K506" s="86"/>
      <c r="L506" s="86"/>
      <c r="M506" s="86"/>
      <c r="N506" s="83"/>
      <c r="O506" s="87"/>
      <c r="P506" s="83"/>
      <c r="Q506" s="87">
        <v>3</v>
      </c>
      <c r="R506" s="83"/>
      <c r="S506" s="87"/>
      <c r="T506" s="90"/>
      <c r="U506" s="83"/>
      <c r="V506" s="83"/>
      <c r="W506" s="87">
        <v>8</v>
      </c>
      <c r="X506" s="83">
        <v>25</v>
      </c>
      <c r="Y506" s="87"/>
      <c r="Z506" s="84">
        <v>8</v>
      </c>
      <c r="AA506" s="83"/>
      <c r="AB506" s="87"/>
      <c r="AC506" s="83"/>
      <c r="AD506" s="90"/>
      <c r="AE506" s="83"/>
    </row>
    <row r="507" spans="1:31" ht="65.25" thickBot="1">
      <c r="A507" s="84">
        <v>13</v>
      </c>
      <c r="B507" s="23" t="s">
        <v>7</v>
      </c>
      <c r="C507" s="84"/>
      <c r="D507" s="85"/>
      <c r="E507" s="85"/>
      <c r="F507" s="85"/>
      <c r="G507" s="85"/>
      <c r="H507" s="86"/>
      <c r="I507" s="86"/>
      <c r="J507" s="86"/>
      <c r="K507" s="86"/>
      <c r="L507" s="86"/>
      <c r="M507" s="86"/>
      <c r="N507" s="86"/>
      <c r="O507" s="87"/>
      <c r="P507" s="84">
        <v>12</v>
      </c>
      <c r="Q507" s="87"/>
      <c r="R507" s="84"/>
      <c r="S507" s="87"/>
      <c r="T507" s="84"/>
      <c r="U507" s="84"/>
      <c r="V507" s="87"/>
      <c r="W507" s="84"/>
      <c r="X507" s="87"/>
      <c r="Y507" s="84"/>
      <c r="Z507" s="84"/>
      <c r="AA507" s="87"/>
      <c r="AB507" s="84">
        <v>0.58</v>
      </c>
      <c r="AC507" s="84"/>
      <c r="AD507" s="87"/>
      <c r="AE507" s="83"/>
    </row>
    <row r="508" spans="1:31" ht="129.75" thickBot="1">
      <c r="A508" s="83">
        <v>69</v>
      </c>
      <c r="B508" s="22" t="s">
        <v>106</v>
      </c>
      <c r="C508" s="84"/>
      <c r="D508" s="86"/>
      <c r="E508" s="86"/>
      <c r="F508" s="86"/>
      <c r="G508" s="86"/>
      <c r="H508" s="86"/>
      <c r="I508" s="86"/>
      <c r="J508" s="86"/>
      <c r="K508" s="86"/>
      <c r="L508" s="86"/>
      <c r="M508" s="86">
        <v>85</v>
      </c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7"/>
      <c r="AE508" s="84"/>
    </row>
    <row r="509" spans="1:31" ht="129.75" thickBot="1">
      <c r="A509" s="83" t="s">
        <v>32</v>
      </c>
      <c r="B509" s="22" t="s">
        <v>56</v>
      </c>
      <c r="C509" s="84">
        <v>25</v>
      </c>
      <c r="D509" s="86"/>
      <c r="E509" s="86"/>
      <c r="F509" s="86"/>
      <c r="G509" s="86"/>
      <c r="H509" s="86"/>
      <c r="I509" s="86"/>
      <c r="J509" s="86"/>
      <c r="K509" s="86"/>
      <c r="L509" s="86"/>
      <c r="M509" s="86"/>
      <c r="N509" s="86"/>
      <c r="O509" s="86"/>
      <c r="P509" s="86"/>
      <c r="Q509" s="86"/>
      <c r="R509" s="86"/>
      <c r="S509" s="86"/>
      <c r="T509" s="87"/>
      <c r="U509" s="83"/>
      <c r="V509" s="86"/>
      <c r="W509" s="87"/>
      <c r="X509" s="83"/>
      <c r="Y509" s="86"/>
      <c r="Z509" s="86"/>
      <c r="AA509" s="86"/>
      <c r="AB509" s="86"/>
      <c r="AC509" s="86"/>
      <c r="AD509" s="87"/>
      <c r="AE509" s="83"/>
    </row>
    <row r="510" spans="1:32" ht="65.25" thickBot="1">
      <c r="A510" s="83"/>
      <c r="B510" s="22" t="s">
        <v>6</v>
      </c>
      <c r="C510" s="84">
        <f aca="true" t="shared" si="89" ref="C510:AF510">SUM(C506:C509)</f>
        <v>25</v>
      </c>
      <c r="D510" s="84">
        <f t="shared" si="89"/>
        <v>0</v>
      </c>
      <c r="E510" s="84">
        <f t="shared" si="89"/>
        <v>0</v>
      </c>
      <c r="F510" s="84">
        <f t="shared" si="89"/>
        <v>0</v>
      </c>
      <c r="G510" s="84">
        <f t="shared" si="89"/>
        <v>0</v>
      </c>
      <c r="H510" s="84">
        <f t="shared" si="89"/>
        <v>0</v>
      </c>
      <c r="I510" s="84">
        <f t="shared" si="89"/>
        <v>35</v>
      </c>
      <c r="J510" s="84">
        <f t="shared" si="89"/>
        <v>39</v>
      </c>
      <c r="K510" s="84">
        <f t="shared" si="89"/>
        <v>0</v>
      </c>
      <c r="L510" s="84">
        <f t="shared" si="89"/>
        <v>0</v>
      </c>
      <c r="M510" s="84">
        <f t="shared" si="89"/>
        <v>85</v>
      </c>
      <c r="N510" s="84">
        <f t="shared" si="89"/>
        <v>0</v>
      </c>
      <c r="O510" s="84">
        <f t="shared" si="89"/>
        <v>0</v>
      </c>
      <c r="P510" s="84">
        <f t="shared" si="89"/>
        <v>12</v>
      </c>
      <c r="Q510" s="84">
        <f t="shared" si="89"/>
        <v>3</v>
      </c>
      <c r="R510" s="84">
        <f t="shared" si="89"/>
        <v>0</v>
      </c>
      <c r="S510" s="84">
        <f t="shared" si="89"/>
        <v>0</v>
      </c>
      <c r="T510" s="84">
        <f t="shared" si="89"/>
        <v>0</v>
      </c>
      <c r="U510" s="84">
        <f t="shared" si="89"/>
        <v>0</v>
      </c>
      <c r="V510" s="84">
        <f t="shared" si="89"/>
        <v>0</v>
      </c>
      <c r="W510" s="84">
        <f t="shared" si="89"/>
        <v>8</v>
      </c>
      <c r="X510" s="84">
        <f t="shared" si="89"/>
        <v>25</v>
      </c>
      <c r="Y510" s="84">
        <f t="shared" si="89"/>
        <v>0</v>
      </c>
      <c r="Z510" s="84">
        <f t="shared" si="89"/>
        <v>8</v>
      </c>
      <c r="AA510" s="84">
        <f t="shared" si="89"/>
        <v>0</v>
      </c>
      <c r="AB510" s="84">
        <f t="shared" si="89"/>
        <v>0.58</v>
      </c>
      <c r="AC510" s="84">
        <f t="shared" si="89"/>
        <v>0</v>
      </c>
      <c r="AD510" s="84">
        <f t="shared" si="89"/>
        <v>0</v>
      </c>
      <c r="AE510" s="84">
        <f t="shared" si="89"/>
        <v>0</v>
      </c>
      <c r="AF510" s="84">
        <f t="shared" si="89"/>
        <v>0</v>
      </c>
    </row>
    <row r="511" spans="1:31" ht="194.25" thickBot="1">
      <c r="A511" s="145"/>
      <c r="B511" s="22" t="s">
        <v>150</v>
      </c>
      <c r="C511" s="84"/>
      <c r="D511" s="84"/>
      <c r="E511" s="84"/>
      <c r="F511" s="84"/>
      <c r="G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  <c r="S511" s="84"/>
      <c r="T511" s="84"/>
      <c r="U511" s="84"/>
      <c r="V511" s="84"/>
      <c r="W511" s="84"/>
      <c r="X511" s="84"/>
      <c r="Y511" s="84"/>
      <c r="Z511" s="84"/>
      <c r="AA511" s="84"/>
      <c r="AB511" s="84"/>
      <c r="AC511" s="84"/>
      <c r="AD511" s="88"/>
      <c r="AE511" s="84"/>
    </row>
    <row r="512" spans="1:31" ht="65.25" thickBot="1">
      <c r="A512" s="83"/>
      <c r="B512" s="93" t="s">
        <v>10</v>
      </c>
      <c r="C512" s="84">
        <f aca="true" t="shared" si="90" ref="C512:AE512">C489+C492+C500+C504+C510</f>
        <v>75</v>
      </c>
      <c r="D512" s="84">
        <f t="shared" si="90"/>
        <v>50</v>
      </c>
      <c r="E512" s="84">
        <f t="shared" si="90"/>
        <v>30.400000000000002</v>
      </c>
      <c r="F512" s="84">
        <f t="shared" si="90"/>
        <v>0</v>
      </c>
      <c r="G512" s="84">
        <f t="shared" si="90"/>
        <v>23</v>
      </c>
      <c r="H512" s="84">
        <f t="shared" si="90"/>
        <v>0</v>
      </c>
      <c r="I512" s="84">
        <f t="shared" si="90"/>
        <v>70</v>
      </c>
      <c r="J512" s="84">
        <f t="shared" si="90"/>
        <v>301.1</v>
      </c>
      <c r="K512" s="84">
        <f t="shared" si="90"/>
        <v>150</v>
      </c>
      <c r="L512" s="84">
        <f t="shared" si="90"/>
        <v>0</v>
      </c>
      <c r="M512" s="84">
        <f t="shared" si="90"/>
        <v>125</v>
      </c>
      <c r="N512" s="84">
        <f t="shared" si="90"/>
        <v>0</v>
      </c>
      <c r="O512" s="84">
        <f t="shared" si="90"/>
        <v>0</v>
      </c>
      <c r="P512" s="84">
        <f t="shared" si="90"/>
        <v>55</v>
      </c>
      <c r="Q512" s="84">
        <f t="shared" si="90"/>
        <v>16.6</v>
      </c>
      <c r="R512" s="84">
        <f t="shared" si="90"/>
        <v>10.2</v>
      </c>
      <c r="S512" s="84">
        <f t="shared" si="90"/>
        <v>12</v>
      </c>
      <c r="T512" s="84">
        <f t="shared" si="90"/>
        <v>443</v>
      </c>
      <c r="U512" s="84">
        <f t="shared" si="90"/>
        <v>67</v>
      </c>
      <c r="V512" s="84">
        <f t="shared" si="90"/>
        <v>0</v>
      </c>
      <c r="W512" s="84">
        <f t="shared" si="90"/>
        <v>106</v>
      </c>
      <c r="X512" s="84">
        <f t="shared" si="90"/>
        <v>50</v>
      </c>
      <c r="Y512" s="84">
        <f t="shared" si="90"/>
        <v>0</v>
      </c>
      <c r="Z512" s="84">
        <f t="shared" si="90"/>
        <v>8</v>
      </c>
      <c r="AA512" s="84">
        <f t="shared" si="90"/>
        <v>13</v>
      </c>
      <c r="AB512" s="84">
        <f t="shared" si="90"/>
        <v>0.58</v>
      </c>
      <c r="AC512" s="84">
        <f t="shared" si="90"/>
        <v>0</v>
      </c>
      <c r="AD512" s="84">
        <f t="shared" si="90"/>
        <v>1.3</v>
      </c>
      <c r="AE512" s="84">
        <f t="shared" si="90"/>
        <v>0</v>
      </c>
    </row>
    <row r="513" spans="1:31" ht="92.25" customHeight="1" thickBot="1">
      <c r="A513" s="150" t="s">
        <v>40</v>
      </c>
      <c r="B513" s="151"/>
      <c r="C513" s="151"/>
      <c r="D513" s="151"/>
      <c r="E513" s="151"/>
      <c r="F513" s="151"/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/>
      <c r="U513" s="151"/>
      <c r="V513" s="151"/>
      <c r="W513" s="151"/>
      <c r="X513" s="151"/>
      <c r="Y513" s="151"/>
      <c r="Z513" s="151"/>
      <c r="AA513" s="151"/>
      <c r="AB513" s="151"/>
      <c r="AC513" s="151"/>
      <c r="AD513" s="151"/>
      <c r="AE513" s="152"/>
    </row>
    <row r="514" spans="1:31" ht="65.25" thickBot="1">
      <c r="A514" s="150" t="s">
        <v>92</v>
      </c>
      <c r="B514" s="151"/>
      <c r="C514" s="151"/>
      <c r="D514" s="151"/>
      <c r="E514" s="151"/>
      <c r="F514" s="151"/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/>
      <c r="U514" s="151"/>
      <c r="V514" s="151"/>
      <c r="W514" s="151"/>
      <c r="X514" s="151"/>
      <c r="Y514" s="151"/>
      <c r="Z514" s="151"/>
      <c r="AA514" s="151"/>
      <c r="AB514" s="151"/>
      <c r="AC514" s="151"/>
      <c r="AD514" s="151"/>
      <c r="AE514" s="152"/>
    </row>
    <row r="515" spans="1:31" ht="46.5" customHeight="1">
      <c r="A515" s="166" t="s">
        <v>30</v>
      </c>
      <c r="B515" s="168" t="s">
        <v>23</v>
      </c>
      <c r="C515" s="153" t="s">
        <v>116</v>
      </c>
      <c r="D515" s="153" t="s">
        <v>117</v>
      </c>
      <c r="E515" s="153" t="s">
        <v>130</v>
      </c>
      <c r="F515" s="153" t="s">
        <v>119</v>
      </c>
      <c r="G515" s="153" t="s">
        <v>131</v>
      </c>
      <c r="H515" s="153" t="s">
        <v>132</v>
      </c>
      <c r="I515" s="153" t="s">
        <v>110</v>
      </c>
      <c r="J515" s="153" t="s">
        <v>257</v>
      </c>
      <c r="K515" s="140"/>
      <c r="L515" s="140"/>
      <c r="M515" s="153" t="s">
        <v>142</v>
      </c>
      <c r="N515" s="153" t="s">
        <v>79</v>
      </c>
      <c r="O515" s="153" t="s">
        <v>139</v>
      </c>
      <c r="P515" s="153" t="s">
        <v>80</v>
      </c>
      <c r="Q515" s="153" t="s">
        <v>124</v>
      </c>
      <c r="R515" s="153" t="s">
        <v>81</v>
      </c>
      <c r="S515" s="153" t="s">
        <v>134</v>
      </c>
      <c r="T515" s="153" t="s">
        <v>135</v>
      </c>
      <c r="U515" s="153" t="s">
        <v>136</v>
      </c>
      <c r="V515" s="140"/>
      <c r="W515" s="153" t="s">
        <v>113</v>
      </c>
      <c r="X515" s="153" t="s">
        <v>129</v>
      </c>
      <c r="Y515" s="153" t="s">
        <v>84</v>
      </c>
      <c r="Z515" s="153" t="s">
        <v>82</v>
      </c>
      <c r="AA515" s="153" t="s">
        <v>83</v>
      </c>
      <c r="AB515" s="153" t="s">
        <v>85</v>
      </c>
      <c r="AC515" s="140"/>
      <c r="AD515" s="158" t="s">
        <v>78</v>
      </c>
      <c r="AE515" s="153" t="s">
        <v>137</v>
      </c>
    </row>
    <row r="516" spans="1:31" ht="409.5" thickBot="1">
      <c r="A516" s="167"/>
      <c r="B516" s="169"/>
      <c r="C516" s="154"/>
      <c r="D516" s="154"/>
      <c r="E516" s="154"/>
      <c r="F516" s="154"/>
      <c r="G516" s="154"/>
      <c r="H516" s="154"/>
      <c r="I516" s="154"/>
      <c r="J516" s="154"/>
      <c r="K516" s="141" t="s">
        <v>133</v>
      </c>
      <c r="L516" s="141" t="s">
        <v>143</v>
      </c>
      <c r="M516" s="154"/>
      <c r="N516" s="154"/>
      <c r="O516" s="154"/>
      <c r="P516" s="154"/>
      <c r="Q516" s="154"/>
      <c r="R516" s="154"/>
      <c r="S516" s="154"/>
      <c r="T516" s="154"/>
      <c r="U516" s="154"/>
      <c r="V516" s="141" t="s">
        <v>140</v>
      </c>
      <c r="W516" s="154"/>
      <c r="X516" s="154"/>
      <c r="Y516" s="154"/>
      <c r="Z516" s="154"/>
      <c r="AA516" s="154"/>
      <c r="AB516" s="154"/>
      <c r="AC516" s="141" t="s">
        <v>77</v>
      </c>
      <c r="AD516" s="159"/>
      <c r="AE516" s="154"/>
    </row>
    <row r="517" spans="1:31" ht="65.25" thickBot="1">
      <c r="A517" s="145">
        <v>1</v>
      </c>
      <c r="B517" s="79">
        <v>2</v>
      </c>
      <c r="C517" s="80" t="s">
        <v>54</v>
      </c>
      <c r="D517" s="81">
        <v>4</v>
      </c>
      <c r="E517" s="80">
        <v>5</v>
      </c>
      <c r="F517" s="80">
        <v>6</v>
      </c>
      <c r="G517" s="80">
        <v>7</v>
      </c>
      <c r="H517" s="80">
        <v>8</v>
      </c>
      <c r="I517" s="80" t="s">
        <v>55</v>
      </c>
      <c r="J517" s="81">
        <v>10</v>
      </c>
      <c r="K517" s="80">
        <v>11</v>
      </c>
      <c r="L517" s="108">
        <v>12</v>
      </c>
      <c r="M517" s="80">
        <v>13</v>
      </c>
      <c r="N517" s="80">
        <v>14</v>
      </c>
      <c r="O517" s="80">
        <v>15</v>
      </c>
      <c r="P517" s="80">
        <v>16</v>
      </c>
      <c r="Q517" s="143">
        <v>17</v>
      </c>
      <c r="R517" s="80">
        <v>18</v>
      </c>
      <c r="S517" s="143">
        <v>19</v>
      </c>
      <c r="T517" s="80">
        <v>20</v>
      </c>
      <c r="U517" s="143">
        <v>21</v>
      </c>
      <c r="V517" s="143">
        <v>22</v>
      </c>
      <c r="W517" s="80">
        <v>23</v>
      </c>
      <c r="X517" s="80">
        <v>24</v>
      </c>
      <c r="Y517" s="143">
        <v>25</v>
      </c>
      <c r="Z517" s="80">
        <v>26</v>
      </c>
      <c r="AA517" s="80">
        <v>27</v>
      </c>
      <c r="AB517" s="80">
        <v>28</v>
      </c>
      <c r="AC517" s="143">
        <v>29</v>
      </c>
      <c r="AD517" s="142">
        <v>30</v>
      </c>
      <c r="AE517" s="80">
        <v>32</v>
      </c>
    </row>
    <row r="518" spans="1:31" ht="65.25" thickBot="1">
      <c r="A518" s="150" t="s">
        <v>5</v>
      </c>
      <c r="B518" s="151"/>
      <c r="C518" s="151"/>
      <c r="D518" s="151"/>
      <c r="E518" s="151"/>
      <c r="F518" s="151"/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/>
      <c r="U518" s="151"/>
      <c r="V518" s="151"/>
      <c r="W518" s="151"/>
      <c r="X518" s="151"/>
      <c r="Y518" s="151"/>
      <c r="Z518" s="151"/>
      <c r="AA518" s="151"/>
      <c r="AB518" s="151"/>
      <c r="AC518" s="151"/>
      <c r="AD518" s="151"/>
      <c r="AE518" s="152"/>
    </row>
    <row r="519" spans="1:31" ht="129.75" thickBot="1">
      <c r="A519" s="83">
        <v>93</v>
      </c>
      <c r="B519" s="130" t="s">
        <v>233</v>
      </c>
      <c r="C519" s="84"/>
      <c r="D519" s="85"/>
      <c r="E519" s="85"/>
      <c r="F519" s="85"/>
      <c r="G519" s="85">
        <v>62</v>
      </c>
      <c r="H519" s="86"/>
      <c r="I519" s="86"/>
      <c r="J519" s="86"/>
      <c r="K519" s="86"/>
      <c r="L519" s="86"/>
      <c r="M519" s="86"/>
      <c r="N519" s="86">
        <v>10</v>
      </c>
      <c r="O519" s="87"/>
      <c r="P519" s="84">
        <v>8</v>
      </c>
      <c r="Q519" s="87">
        <v>6</v>
      </c>
      <c r="R519" s="84"/>
      <c r="S519" s="87"/>
      <c r="T519" s="84"/>
      <c r="U519" s="87"/>
      <c r="V519" s="84"/>
      <c r="W519" s="84"/>
      <c r="X519" s="84"/>
      <c r="Y519" s="87"/>
      <c r="Z519" s="84"/>
      <c r="AA519" s="84"/>
      <c r="AB519" s="84"/>
      <c r="AC519" s="87"/>
      <c r="AD519" s="88"/>
      <c r="AE519" s="84"/>
    </row>
    <row r="520" spans="1:31" ht="65.25" thickBot="1">
      <c r="A520" s="84">
        <v>13</v>
      </c>
      <c r="B520" s="23" t="s">
        <v>7</v>
      </c>
      <c r="C520" s="84"/>
      <c r="D520" s="85"/>
      <c r="E520" s="85"/>
      <c r="F520" s="85"/>
      <c r="G520" s="85"/>
      <c r="H520" s="86"/>
      <c r="I520" s="86"/>
      <c r="J520" s="86"/>
      <c r="K520" s="86"/>
      <c r="L520" s="86"/>
      <c r="M520" s="86"/>
      <c r="N520" s="86"/>
      <c r="O520" s="87"/>
      <c r="P520" s="84">
        <v>12</v>
      </c>
      <c r="Q520" s="87"/>
      <c r="R520" s="84"/>
      <c r="S520" s="87"/>
      <c r="T520" s="84"/>
      <c r="U520" s="84"/>
      <c r="V520" s="87"/>
      <c r="W520" s="84"/>
      <c r="X520" s="87"/>
      <c r="Y520" s="84"/>
      <c r="Z520" s="84"/>
      <c r="AA520" s="87"/>
      <c r="AB520" s="84">
        <v>0.58</v>
      </c>
      <c r="AC520" s="84"/>
      <c r="AD520" s="87"/>
      <c r="AE520" s="83"/>
    </row>
    <row r="521" spans="1:31" ht="65.25" thickBot="1">
      <c r="A521" s="83">
        <v>16</v>
      </c>
      <c r="B521" s="22" t="s">
        <v>36</v>
      </c>
      <c r="C521" s="86">
        <v>25</v>
      </c>
      <c r="D521" s="85"/>
      <c r="E521" s="85"/>
      <c r="F521" s="85"/>
      <c r="G521" s="85"/>
      <c r="H521" s="86"/>
      <c r="I521" s="86"/>
      <c r="J521" s="86"/>
      <c r="K521" s="86"/>
      <c r="L521" s="86"/>
      <c r="M521" s="86"/>
      <c r="N521" s="86"/>
      <c r="O521" s="87"/>
      <c r="P521" s="84"/>
      <c r="Q521" s="84">
        <v>5</v>
      </c>
      <c r="R521" s="84"/>
      <c r="S521" s="87"/>
      <c r="T521" s="84"/>
      <c r="U521" s="87"/>
      <c r="V521" s="83"/>
      <c r="W521" s="84"/>
      <c r="X521" s="83"/>
      <c r="Y521" s="87"/>
      <c r="Z521" s="84"/>
      <c r="AA521" s="84"/>
      <c r="AB521" s="87"/>
      <c r="AC521" s="83"/>
      <c r="AD521" s="88"/>
      <c r="AE521" s="84"/>
    </row>
    <row r="522" spans="1:31" ht="65.25" thickBot="1">
      <c r="A522" s="83"/>
      <c r="B522" s="22" t="s">
        <v>6</v>
      </c>
      <c r="C522" s="84">
        <f aca="true" t="shared" si="91" ref="C522:AE522">SUM(C519:C521)</f>
        <v>25</v>
      </c>
      <c r="D522" s="84">
        <f t="shared" si="91"/>
        <v>0</v>
      </c>
      <c r="E522" s="84">
        <f t="shared" si="91"/>
        <v>0</v>
      </c>
      <c r="F522" s="84">
        <f t="shared" si="91"/>
        <v>0</v>
      </c>
      <c r="G522" s="84">
        <f t="shared" si="91"/>
        <v>62</v>
      </c>
      <c r="H522" s="84">
        <f t="shared" si="91"/>
        <v>0</v>
      </c>
      <c r="I522" s="84">
        <f t="shared" si="91"/>
        <v>0</v>
      </c>
      <c r="J522" s="84">
        <f t="shared" si="91"/>
        <v>0</v>
      </c>
      <c r="K522" s="84">
        <f t="shared" si="91"/>
        <v>0</v>
      </c>
      <c r="L522" s="84">
        <f t="shared" si="91"/>
        <v>0</v>
      </c>
      <c r="M522" s="84">
        <f t="shared" si="91"/>
        <v>0</v>
      </c>
      <c r="N522" s="84">
        <f t="shared" si="91"/>
        <v>10</v>
      </c>
      <c r="O522" s="84">
        <f t="shared" si="91"/>
        <v>0</v>
      </c>
      <c r="P522" s="84">
        <f t="shared" si="91"/>
        <v>20</v>
      </c>
      <c r="Q522" s="84">
        <f t="shared" si="91"/>
        <v>11</v>
      </c>
      <c r="R522" s="84">
        <f t="shared" si="91"/>
        <v>0</v>
      </c>
      <c r="S522" s="84">
        <f t="shared" si="91"/>
        <v>0</v>
      </c>
      <c r="T522" s="84">
        <f t="shared" si="91"/>
        <v>0</v>
      </c>
      <c r="U522" s="84">
        <f t="shared" si="91"/>
        <v>0</v>
      </c>
      <c r="V522" s="84">
        <f t="shared" si="91"/>
        <v>0</v>
      </c>
      <c r="W522" s="84">
        <f t="shared" si="91"/>
        <v>0</v>
      </c>
      <c r="X522" s="84">
        <f t="shared" si="91"/>
        <v>0</v>
      </c>
      <c r="Y522" s="84">
        <f t="shared" si="91"/>
        <v>0</v>
      </c>
      <c r="Z522" s="84">
        <f t="shared" si="91"/>
        <v>0</v>
      </c>
      <c r="AA522" s="84">
        <f t="shared" si="91"/>
        <v>0</v>
      </c>
      <c r="AB522" s="84">
        <f t="shared" si="91"/>
        <v>0.58</v>
      </c>
      <c r="AC522" s="84">
        <f t="shared" si="91"/>
        <v>0</v>
      </c>
      <c r="AD522" s="88">
        <f t="shared" si="91"/>
        <v>0</v>
      </c>
      <c r="AE522" s="84">
        <f t="shared" si="91"/>
        <v>0</v>
      </c>
    </row>
    <row r="523" spans="1:31" ht="65.25" thickBot="1">
      <c r="A523" s="155" t="s">
        <v>53</v>
      </c>
      <c r="B523" s="156"/>
      <c r="C523" s="156"/>
      <c r="D523" s="156"/>
      <c r="E523" s="156"/>
      <c r="F523" s="156"/>
      <c r="G523" s="156"/>
      <c r="H523" s="156"/>
      <c r="I523" s="156"/>
      <c r="J523" s="156"/>
      <c r="K523" s="156"/>
      <c r="L523" s="156"/>
      <c r="M523" s="156"/>
      <c r="N523" s="156"/>
      <c r="O523" s="156"/>
      <c r="P523" s="156"/>
      <c r="Q523" s="156"/>
      <c r="R523" s="156"/>
      <c r="S523" s="156"/>
      <c r="T523" s="156"/>
      <c r="U523" s="156"/>
      <c r="V523" s="156"/>
      <c r="W523" s="156"/>
      <c r="X523" s="156"/>
      <c r="Y523" s="156"/>
      <c r="Z523" s="156"/>
      <c r="AA523" s="156"/>
      <c r="AB523" s="156"/>
      <c r="AC523" s="156"/>
      <c r="AD523" s="156"/>
      <c r="AE523" s="157"/>
    </row>
    <row r="524" spans="1:31" ht="65.25" thickBot="1">
      <c r="A524" s="83" t="s">
        <v>32</v>
      </c>
      <c r="B524" s="25" t="s">
        <v>182</v>
      </c>
      <c r="C524" s="84"/>
      <c r="D524" s="86"/>
      <c r="E524" s="86"/>
      <c r="F524" s="86"/>
      <c r="G524" s="86"/>
      <c r="H524" s="86"/>
      <c r="I524" s="86"/>
      <c r="J524" s="86"/>
      <c r="K524" s="86">
        <v>150</v>
      </c>
      <c r="L524" s="86"/>
      <c r="M524" s="86"/>
      <c r="N524" s="86"/>
      <c r="O524" s="87"/>
      <c r="P524" s="84"/>
      <c r="Q524" s="87"/>
      <c r="R524" s="84"/>
      <c r="S524" s="87"/>
      <c r="T524" s="84"/>
      <c r="U524" s="87"/>
      <c r="V524" s="84"/>
      <c r="W524" s="84"/>
      <c r="X524" s="87"/>
      <c r="Y524" s="84"/>
      <c r="Z524" s="84"/>
      <c r="AA524" s="87"/>
      <c r="AB524" s="84"/>
      <c r="AC524" s="87"/>
      <c r="AD524" s="88"/>
      <c r="AE524" s="83"/>
    </row>
    <row r="525" spans="1:31" ht="65.25" thickBot="1">
      <c r="A525" s="83"/>
      <c r="B525" s="22" t="s">
        <v>29</v>
      </c>
      <c r="C525" s="86">
        <f>SUM(C524)</f>
        <v>0</v>
      </c>
      <c r="D525" s="86">
        <f>SUM(D524)</f>
        <v>0</v>
      </c>
      <c r="E525" s="86">
        <f aca="true" t="shared" si="92" ref="E525:AD525">SUM(E524)</f>
        <v>0</v>
      </c>
      <c r="F525" s="86">
        <f t="shared" si="92"/>
        <v>0</v>
      </c>
      <c r="G525" s="86">
        <f t="shared" si="92"/>
        <v>0</v>
      </c>
      <c r="H525" s="86">
        <f t="shared" si="92"/>
        <v>0</v>
      </c>
      <c r="I525" s="86">
        <f t="shared" si="92"/>
        <v>0</v>
      </c>
      <c r="J525" s="86">
        <f t="shared" si="92"/>
        <v>0</v>
      </c>
      <c r="K525" s="86">
        <f t="shared" si="92"/>
        <v>150</v>
      </c>
      <c r="L525" s="86">
        <f t="shared" si="92"/>
        <v>0</v>
      </c>
      <c r="M525" s="86">
        <f t="shared" si="92"/>
        <v>0</v>
      </c>
      <c r="N525" s="86">
        <f t="shared" si="92"/>
        <v>0</v>
      </c>
      <c r="O525" s="86">
        <f t="shared" si="92"/>
        <v>0</v>
      </c>
      <c r="P525" s="86">
        <f t="shared" si="92"/>
        <v>0</v>
      </c>
      <c r="Q525" s="86">
        <f t="shared" si="92"/>
        <v>0</v>
      </c>
      <c r="R525" s="86">
        <f t="shared" si="92"/>
        <v>0</v>
      </c>
      <c r="S525" s="86">
        <f t="shared" si="92"/>
        <v>0</v>
      </c>
      <c r="T525" s="86">
        <f t="shared" si="92"/>
        <v>0</v>
      </c>
      <c r="U525" s="86">
        <f t="shared" si="92"/>
        <v>0</v>
      </c>
      <c r="V525" s="86">
        <f t="shared" si="92"/>
        <v>0</v>
      </c>
      <c r="W525" s="86">
        <f t="shared" si="92"/>
        <v>0</v>
      </c>
      <c r="X525" s="86">
        <f t="shared" si="92"/>
        <v>0</v>
      </c>
      <c r="Y525" s="86">
        <f t="shared" si="92"/>
        <v>0</v>
      </c>
      <c r="Z525" s="86">
        <f t="shared" si="92"/>
        <v>0</v>
      </c>
      <c r="AA525" s="86">
        <f t="shared" si="92"/>
        <v>0</v>
      </c>
      <c r="AB525" s="86">
        <f t="shared" si="92"/>
        <v>0</v>
      </c>
      <c r="AC525" s="86">
        <f t="shared" si="92"/>
        <v>0</v>
      </c>
      <c r="AD525" s="87">
        <f t="shared" si="92"/>
        <v>0</v>
      </c>
      <c r="AE525" s="83">
        <f>SUM(AE524)</f>
        <v>0</v>
      </c>
    </row>
    <row r="526" spans="1:31" ht="65.25" thickBot="1">
      <c r="A526" s="150" t="s">
        <v>8</v>
      </c>
      <c r="B526" s="151"/>
      <c r="C526" s="151"/>
      <c r="D526" s="151"/>
      <c r="E526" s="151"/>
      <c r="F526" s="151"/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  <c r="AA526" s="151"/>
      <c r="AB526" s="151"/>
      <c r="AC526" s="151"/>
      <c r="AD526" s="151"/>
      <c r="AE526" s="152"/>
    </row>
    <row r="527" spans="1:31" ht="129.75" thickBot="1">
      <c r="A527" s="84">
        <v>38</v>
      </c>
      <c r="B527" s="22" t="s">
        <v>269</v>
      </c>
      <c r="C527" s="84"/>
      <c r="D527" s="86"/>
      <c r="E527" s="86"/>
      <c r="F527" s="86"/>
      <c r="G527" s="86"/>
      <c r="H527" s="86"/>
      <c r="I527" s="86"/>
      <c r="J527" s="86">
        <v>40</v>
      </c>
      <c r="K527" s="86"/>
      <c r="L527" s="86"/>
      <c r="M527" s="86"/>
      <c r="N527" s="87"/>
      <c r="O527" s="83"/>
      <c r="P527" s="87"/>
      <c r="Q527" s="83"/>
      <c r="R527" s="87"/>
      <c r="S527" s="83"/>
      <c r="T527" s="87"/>
      <c r="U527" s="84"/>
      <c r="V527" s="83"/>
      <c r="W527" s="87"/>
      <c r="X527" s="84"/>
      <c r="Y527" s="83"/>
      <c r="Z527" s="87"/>
      <c r="AA527" s="83"/>
      <c r="AB527" s="84"/>
      <c r="AC527" s="88"/>
      <c r="AD527" s="83"/>
      <c r="AE527" s="84"/>
    </row>
    <row r="528" spans="1:31" ht="194.25" thickBot="1">
      <c r="A528" s="83">
        <v>83</v>
      </c>
      <c r="B528" s="22" t="s">
        <v>239</v>
      </c>
      <c r="C528" s="84"/>
      <c r="D528" s="86"/>
      <c r="E528" s="86"/>
      <c r="F528" s="86"/>
      <c r="G528" s="86"/>
      <c r="H528" s="86"/>
      <c r="I528" s="86">
        <v>15</v>
      </c>
      <c r="J528" s="86">
        <v>69.2</v>
      </c>
      <c r="K528" s="86"/>
      <c r="L528" s="86"/>
      <c r="M528" s="86"/>
      <c r="N528" s="86"/>
      <c r="O528" s="87"/>
      <c r="P528" s="83">
        <v>1</v>
      </c>
      <c r="Q528" s="87">
        <v>3</v>
      </c>
      <c r="R528" s="83"/>
      <c r="S528" s="87"/>
      <c r="T528" s="83"/>
      <c r="U528" s="87"/>
      <c r="V528" s="83"/>
      <c r="W528" s="83">
        <v>13</v>
      </c>
      <c r="X528" s="87"/>
      <c r="Y528" s="83"/>
      <c r="Z528" s="84">
        <v>8</v>
      </c>
      <c r="AA528" s="87"/>
      <c r="AB528" s="83"/>
      <c r="AC528" s="83"/>
      <c r="AD528" s="87"/>
      <c r="AE528" s="83"/>
    </row>
    <row r="529" spans="1:31" ht="65.25" thickBot="1">
      <c r="A529" s="83">
        <v>35</v>
      </c>
      <c r="B529" s="22" t="s">
        <v>168</v>
      </c>
      <c r="C529" s="84"/>
      <c r="D529" s="86"/>
      <c r="E529" s="86">
        <v>1.5</v>
      </c>
      <c r="F529" s="86"/>
      <c r="G529" s="86"/>
      <c r="H529" s="86"/>
      <c r="I529" s="86"/>
      <c r="J529" s="86">
        <v>13.3</v>
      </c>
      <c r="K529" s="86"/>
      <c r="L529" s="86"/>
      <c r="M529" s="86"/>
      <c r="N529" s="86"/>
      <c r="O529" s="87"/>
      <c r="P529" s="83"/>
      <c r="Q529" s="87"/>
      <c r="R529" s="83">
        <v>5</v>
      </c>
      <c r="S529" s="87"/>
      <c r="T529" s="83"/>
      <c r="U529" s="87"/>
      <c r="V529" s="83"/>
      <c r="W529" s="83">
        <v>75</v>
      </c>
      <c r="X529" s="87"/>
      <c r="Y529" s="83"/>
      <c r="Z529" s="83"/>
      <c r="AA529" s="87"/>
      <c r="AB529" s="83"/>
      <c r="AC529" s="83"/>
      <c r="AD529" s="87"/>
      <c r="AE529" s="83"/>
    </row>
    <row r="530" spans="1:31" ht="129.75" thickBot="1">
      <c r="A530" s="94">
        <v>42</v>
      </c>
      <c r="B530" s="75" t="s">
        <v>152</v>
      </c>
      <c r="C530" s="95"/>
      <c r="D530" s="96"/>
      <c r="E530" s="96"/>
      <c r="F530" s="96"/>
      <c r="G530" s="96"/>
      <c r="H530" s="96">
        <v>50</v>
      </c>
      <c r="I530" s="96"/>
      <c r="J530" s="96"/>
      <c r="K530" s="96"/>
      <c r="L530" s="96"/>
      <c r="M530" s="96"/>
      <c r="N530" s="96"/>
      <c r="O530" s="96"/>
      <c r="P530" s="96"/>
      <c r="Q530" s="96">
        <v>6</v>
      </c>
      <c r="R530" s="96"/>
      <c r="S530" s="96"/>
      <c r="T530" s="96"/>
      <c r="U530" s="96"/>
      <c r="V530" s="96"/>
      <c r="W530" s="96"/>
      <c r="X530" s="97"/>
      <c r="Y530" s="94"/>
      <c r="Z530" s="96"/>
      <c r="AA530" s="96"/>
      <c r="AB530" s="96"/>
      <c r="AC530" s="96"/>
      <c r="AD530" s="97"/>
      <c r="AE530" s="94"/>
    </row>
    <row r="531" spans="1:31" ht="194.25" thickBot="1">
      <c r="A531" s="83">
        <v>20</v>
      </c>
      <c r="B531" s="22" t="s">
        <v>232</v>
      </c>
      <c r="C531" s="84"/>
      <c r="D531" s="85"/>
      <c r="E531" s="85"/>
      <c r="F531" s="85">
        <v>9.5</v>
      </c>
      <c r="G531" s="85"/>
      <c r="H531" s="86"/>
      <c r="I531" s="86"/>
      <c r="J531" s="86"/>
      <c r="K531" s="86"/>
      <c r="L531" s="86"/>
      <c r="M531" s="86"/>
      <c r="N531" s="86"/>
      <c r="O531" s="87"/>
      <c r="P531" s="84">
        <v>8</v>
      </c>
      <c r="Q531" s="87"/>
      <c r="R531" s="84"/>
      <c r="S531" s="87"/>
      <c r="T531" s="84"/>
      <c r="U531" s="87"/>
      <c r="V531" s="83"/>
      <c r="W531" s="84"/>
      <c r="X531" s="87"/>
      <c r="Y531" s="83"/>
      <c r="Z531" s="84"/>
      <c r="AA531" s="84"/>
      <c r="AB531" s="87"/>
      <c r="AC531" s="83"/>
      <c r="AD531" s="88"/>
      <c r="AE531" s="84"/>
    </row>
    <row r="532" spans="1:31" ht="129.75" thickBot="1">
      <c r="A532" s="83" t="s">
        <v>32</v>
      </c>
      <c r="B532" s="22" t="s">
        <v>56</v>
      </c>
      <c r="C532" s="84">
        <v>25</v>
      </c>
      <c r="D532" s="86"/>
      <c r="E532" s="86"/>
      <c r="F532" s="86"/>
      <c r="G532" s="86"/>
      <c r="H532" s="86"/>
      <c r="I532" s="86"/>
      <c r="J532" s="86"/>
      <c r="K532" s="86"/>
      <c r="L532" s="86"/>
      <c r="M532" s="86"/>
      <c r="N532" s="86"/>
      <c r="O532" s="86"/>
      <c r="P532" s="86"/>
      <c r="Q532" s="86"/>
      <c r="R532" s="86"/>
      <c r="S532" s="86"/>
      <c r="T532" s="86"/>
      <c r="U532" s="87"/>
      <c r="V532" s="83"/>
      <c r="W532" s="86"/>
      <c r="X532" s="87"/>
      <c r="Y532" s="83"/>
      <c r="Z532" s="86"/>
      <c r="AA532" s="86"/>
      <c r="AB532" s="86"/>
      <c r="AC532" s="86"/>
      <c r="AD532" s="87"/>
      <c r="AE532" s="83"/>
    </row>
    <row r="533" spans="1:31" ht="129.75" thickBot="1">
      <c r="A533" s="83" t="s">
        <v>32</v>
      </c>
      <c r="B533" s="22" t="s">
        <v>58</v>
      </c>
      <c r="C533" s="84"/>
      <c r="D533" s="86">
        <v>50</v>
      </c>
      <c r="E533" s="86"/>
      <c r="F533" s="86"/>
      <c r="G533" s="86"/>
      <c r="H533" s="86"/>
      <c r="I533" s="86"/>
      <c r="J533" s="86"/>
      <c r="K533" s="86"/>
      <c r="L533" s="86"/>
      <c r="M533" s="8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7"/>
      <c r="AE533" s="83"/>
    </row>
    <row r="534" spans="1:31" ht="65.25" thickBot="1">
      <c r="A534" s="83"/>
      <c r="B534" s="22" t="s">
        <v>29</v>
      </c>
      <c r="C534" s="84">
        <f>SUM(C527:C533)</f>
        <v>25</v>
      </c>
      <c r="D534" s="84">
        <f aca="true" t="shared" si="93" ref="D534:AE534">SUM(D527:D533)</f>
        <v>50</v>
      </c>
      <c r="E534" s="84">
        <f t="shared" si="93"/>
        <v>1.5</v>
      </c>
      <c r="F534" s="84">
        <f t="shared" si="93"/>
        <v>9.5</v>
      </c>
      <c r="G534" s="84">
        <f t="shared" si="93"/>
        <v>0</v>
      </c>
      <c r="H534" s="84">
        <f t="shared" si="93"/>
        <v>50</v>
      </c>
      <c r="I534" s="84">
        <f t="shared" si="93"/>
        <v>15</v>
      </c>
      <c r="J534" s="84">
        <f t="shared" si="93"/>
        <v>122.5</v>
      </c>
      <c r="K534" s="84">
        <f t="shared" si="93"/>
        <v>0</v>
      </c>
      <c r="L534" s="84">
        <f t="shared" si="93"/>
        <v>0</v>
      </c>
      <c r="M534" s="84">
        <f t="shared" si="93"/>
        <v>0</v>
      </c>
      <c r="N534" s="84">
        <f t="shared" si="93"/>
        <v>0</v>
      </c>
      <c r="O534" s="84">
        <f t="shared" si="93"/>
        <v>0</v>
      </c>
      <c r="P534" s="84">
        <f t="shared" si="93"/>
        <v>9</v>
      </c>
      <c r="Q534" s="84">
        <f t="shared" si="93"/>
        <v>9</v>
      </c>
      <c r="R534" s="84">
        <f t="shared" si="93"/>
        <v>5</v>
      </c>
      <c r="S534" s="84">
        <f t="shared" si="93"/>
        <v>0</v>
      </c>
      <c r="T534" s="84">
        <f t="shared" si="93"/>
        <v>0</v>
      </c>
      <c r="U534" s="84">
        <f t="shared" si="93"/>
        <v>0</v>
      </c>
      <c r="V534" s="84">
        <f t="shared" si="93"/>
        <v>0</v>
      </c>
      <c r="W534" s="84">
        <f t="shared" si="93"/>
        <v>88</v>
      </c>
      <c r="X534" s="84">
        <f t="shared" si="93"/>
        <v>0</v>
      </c>
      <c r="Y534" s="84">
        <f t="shared" si="93"/>
        <v>0</v>
      </c>
      <c r="Z534" s="84">
        <f t="shared" si="93"/>
        <v>8</v>
      </c>
      <c r="AA534" s="84">
        <f t="shared" si="93"/>
        <v>0</v>
      </c>
      <c r="AB534" s="84">
        <f t="shared" si="93"/>
        <v>0</v>
      </c>
      <c r="AC534" s="84">
        <f t="shared" si="93"/>
        <v>0</v>
      </c>
      <c r="AD534" s="84">
        <f t="shared" si="93"/>
        <v>0</v>
      </c>
      <c r="AE534" s="84">
        <f t="shared" si="93"/>
        <v>0</v>
      </c>
    </row>
    <row r="535" spans="1:31" ht="65.25" thickBot="1">
      <c r="A535" s="150" t="s">
        <v>145</v>
      </c>
      <c r="B535" s="151"/>
      <c r="C535" s="151"/>
      <c r="D535" s="151"/>
      <c r="E535" s="151"/>
      <c r="F535" s="151"/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/>
      <c r="AC535" s="151"/>
      <c r="AD535" s="151"/>
      <c r="AE535" s="152"/>
    </row>
    <row r="536" spans="1:31" ht="129.75" thickBot="1">
      <c r="A536" s="92">
        <v>21.1</v>
      </c>
      <c r="B536" s="27" t="s">
        <v>172</v>
      </c>
      <c r="C536" s="83"/>
      <c r="D536" s="86"/>
      <c r="E536" s="83"/>
      <c r="F536" s="83"/>
      <c r="G536" s="83"/>
      <c r="H536" s="86"/>
      <c r="I536" s="86"/>
      <c r="J536" s="86"/>
      <c r="K536" s="86"/>
      <c r="L536" s="86"/>
      <c r="M536" s="86"/>
      <c r="N536" s="86"/>
      <c r="O536" s="87"/>
      <c r="P536" s="84"/>
      <c r="Q536" s="87"/>
      <c r="R536" s="84"/>
      <c r="S536" s="87"/>
      <c r="T536" s="84">
        <v>185</v>
      </c>
      <c r="U536" s="87"/>
      <c r="V536" s="84"/>
      <c r="W536" s="84"/>
      <c r="X536" s="87"/>
      <c r="Y536" s="84"/>
      <c r="Z536" s="84"/>
      <c r="AA536" s="87"/>
      <c r="AB536" s="84"/>
      <c r="AC536" s="87"/>
      <c r="AD536" s="88"/>
      <c r="AE536" s="83"/>
    </row>
    <row r="537" spans="1:31" ht="194.25" thickBot="1">
      <c r="A537" s="83">
        <v>24</v>
      </c>
      <c r="B537" s="22" t="s">
        <v>105</v>
      </c>
      <c r="C537" s="84"/>
      <c r="D537" s="86"/>
      <c r="E537" s="86"/>
      <c r="F537" s="86"/>
      <c r="G537" s="86"/>
      <c r="H537" s="86"/>
      <c r="I537" s="86"/>
      <c r="J537" s="86"/>
      <c r="K537" s="86"/>
      <c r="L537" s="86"/>
      <c r="M537" s="86"/>
      <c r="N537" s="86"/>
      <c r="O537" s="86">
        <v>75</v>
      </c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7"/>
      <c r="AE537" s="83"/>
    </row>
    <row r="538" spans="1:31" ht="65.25" thickBot="1">
      <c r="A538" s="84"/>
      <c r="B538" s="22" t="s">
        <v>29</v>
      </c>
      <c r="C538" s="84">
        <f aca="true" t="shared" si="94" ref="C538:AE538">C536+C537</f>
        <v>0</v>
      </c>
      <c r="D538" s="84">
        <f t="shared" si="94"/>
        <v>0</v>
      </c>
      <c r="E538" s="84">
        <f t="shared" si="94"/>
        <v>0</v>
      </c>
      <c r="F538" s="84">
        <f t="shared" si="94"/>
        <v>0</v>
      </c>
      <c r="G538" s="84">
        <f t="shared" si="94"/>
        <v>0</v>
      </c>
      <c r="H538" s="84">
        <f t="shared" si="94"/>
        <v>0</v>
      </c>
      <c r="I538" s="84">
        <f t="shared" si="94"/>
        <v>0</v>
      </c>
      <c r="J538" s="84">
        <f t="shared" si="94"/>
        <v>0</v>
      </c>
      <c r="K538" s="84">
        <f t="shared" si="94"/>
        <v>0</v>
      </c>
      <c r="L538" s="84">
        <f t="shared" si="94"/>
        <v>0</v>
      </c>
      <c r="M538" s="84">
        <f t="shared" si="94"/>
        <v>0</v>
      </c>
      <c r="N538" s="84">
        <f t="shared" si="94"/>
        <v>0</v>
      </c>
      <c r="O538" s="84">
        <f t="shared" si="94"/>
        <v>75</v>
      </c>
      <c r="P538" s="84">
        <f t="shared" si="94"/>
        <v>0</v>
      </c>
      <c r="Q538" s="84">
        <f t="shared" si="94"/>
        <v>0</v>
      </c>
      <c r="R538" s="84">
        <f t="shared" si="94"/>
        <v>0</v>
      </c>
      <c r="S538" s="84">
        <f t="shared" si="94"/>
        <v>0</v>
      </c>
      <c r="T538" s="84">
        <f t="shared" si="94"/>
        <v>185</v>
      </c>
      <c r="U538" s="84">
        <f t="shared" si="94"/>
        <v>0</v>
      </c>
      <c r="V538" s="84">
        <f t="shared" si="94"/>
        <v>0</v>
      </c>
      <c r="W538" s="84">
        <f t="shared" si="94"/>
        <v>0</v>
      </c>
      <c r="X538" s="84">
        <f t="shared" si="94"/>
        <v>0</v>
      </c>
      <c r="Y538" s="84">
        <f t="shared" si="94"/>
        <v>0</v>
      </c>
      <c r="Z538" s="84">
        <f t="shared" si="94"/>
        <v>0</v>
      </c>
      <c r="AA538" s="84">
        <f t="shared" si="94"/>
        <v>0</v>
      </c>
      <c r="AB538" s="84">
        <f t="shared" si="94"/>
        <v>0</v>
      </c>
      <c r="AC538" s="84">
        <f t="shared" si="94"/>
        <v>0</v>
      </c>
      <c r="AD538" s="84">
        <f t="shared" si="94"/>
        <v>0</v>
      </c>
      <c r="AE538" s="84">
        <f t="shared" si="94"/>
        <v>0</v>
      </c>
    </row>
    <row r="539" spans="1:31" ht="65.25" thickBot="1">
      <c r="A539" s="155" t="s">
        <v>144</v>
      </c>
      <c r="B539" s="156"/>
      <c r="C539" s="156"/>
      <c r="D539" s="156"/>
      <c r="E539" s="156"/>
      <c r="F539" s="156"/>
      <c r="G539" s="156"/>
      <c r="H539" s="156"/>
      <c r="I539" s="156"/>
      <c r="J539" s="156"/>
      <c r="K539" s="156"/>
      <c r="L539" s="156"/>
      <c r="M539" s="156"/>
      <c r="N539" s="156"/>
      <c r="O539" s="156"/>
      <c r="P539" s="156"/>
      <c r="Q539" s="156"/>
      <c r="R539" s="156"/>
      <c r="S539" s="156"/>
      <c r="T539" s="156"/>
      <c r="U539" s="156"/>
      <c r="V539" s="156"/>
      <c r="W539" s="156"/>
      <c r="X539" s="156"/>
      <c r="Y539" s="156"/>
      <c r="Z539" s="156"/>
      <c r="AA539" s="156"/>
      <c r="AB539" s="156"/>
      <c r="AC539" s="156"/>
      <c r="AD539" s="156"/>
      <c r="AE539" s="157"/>
    </row>
    <row r="540" spans="1:31" ht="65.25" thickBot="1">
      <c r="A540" s="83">
        <v>73</v>
      </c>
      <c r="B540" s="22" t="s">
        <v>212</v>
      </c>
      <c r="C540" s="83">
        <v>13</v>
      </c>
      <c r="D540" s="86"/>
      <c r="E540" s="86"/>
      <c r="F540" s="86"/>
      <c r="G540" s="86">
        <v>13</v>
      </c>
      <c r="H540" s="86"/>
      <c r="I540" s="86">
        <v>66</v>
      </c>
      <c r="J540" s="86">
        <v>230</v>
      </c>
      <c r="K540" s="86"/>
      <c r="L540" s="86"/>
      <c r="M540" s="86"/>
      <c r="N540" s="86"/>
      <c r="O540" s="86"/>
      <c r="P540" s="86"/>
      <c r="Q540" s="86">
        <v>3</v>
      </c>
      <c r="R540" s="86">
        <v>5</v>
      </c>
      <c r="S540" s="86">
        <v>10</v>
      </c>
      <c r="T540" s="86"/>
      <c r="U540" s="86"/>
      <c r="V540" s="86"/>
      <c r="W540" s="86"/>
      <c r="X540" s="86"/>
      <c r="Y540" s="86"/>
      <c r="Z540" s="86">
        <v>6</v>
      </c>
      <c r="AA540" s="86"/>
      <c r="AB540" s="86"/>
      <c r="AC540" s="86"/>
      <c r="AD540" s="87"/>
      <c r="AE540" s="83"/>
    </row>
    <row r="541" spans="1:31" ht="129.75" thickBot="1">
      <c r="A541" s="83" t="s">
        <v>32</v>
      </c>
      <c r="B541" s="22" t="s">
        <v>56</v>
      </c>
      <c r="C541" s="84">
        <v>25</v>
      </c>
      <c r="D541" s="86"/>
      <c r="E541" s="86"/>
      <c r="F541" s="86"/>
      <c r="G541" s="86"/>
      <c r="H541" s="86"/>
      <c r="I541" s="86"/>
      <c r="J541" s="86"/>
      <c r="K541" s="86"/>
      <c r="L541" s="86"/>
      <c r="M541" s="86"/>
      <c r="N541" s="86"/>
      <c r="O541" s="86"/>
      <c r="P541" s="86"/>
      <c r="Q541" s="86"/>
      <c r="R541" s="86"/>
      <c r="S541" s="86"/>
      <c r="T541" s="87"/>
      <c r="U541" s="83"/>
      <c r="V541" s="86"/>
      <c r="W541" s="87"/>
      <c r="X541" s="83"/>
      <c r="Y541" s="86"/>
      <c r="Z541" s="86"/>
      <c r="AA541" s="86"/>
      <c r="AB541" s="86"/>
      <c r="AC541" s="86"/>
      <c r="AD541" s="87"/>
      <c r="AE541" s="83"/>
    </row>
    <row r="542" spans="1:31" ht="129.75" thickBot="1">
      <c r="A542" s="83">
        <v>69</v>
      </c>
      <c r="B542" s="22" t="s">
        <v>106</v>
      </c>
      <c r="C542" s="84"/>
      <c r="D542" s="86"/>
      <c r="E542" s="86"/>
      <c r="F542" s="86"/>
      <c r="G542" s="86"/>
      <c r="H542" s="86"/>
      <c r="I542" s="86"/>
      <c r="J542" s="86"/>
      <c r="K542" s="86"/>
      <c r="L542" s="86"/>
      <c r="M542" s="86">
        <v>85</v>
      </c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7"/>
      <c r="AE542" s="84"/>
    </row>
    <row r="543" spans="1:31" ht="129.75" thickBot="1">
      <c r="A543" s="83">
        <v>2</v>
      </c>
      <c r="B543" s="22" t="s">
        <v>69</v>
      </c>
      <c r="C543" s="84"/>
      <c r="D543" s="86"/>
      <c r="E543" s="86"/>
      <c r="F543" s="86"/>
      <c r="G543" s="86"/>
      <c r="H543" s="86"/>
      <c r="I543" s="86"/>
      <c r="J543" s="86"/>
      <c r="K543" s="86"/>
      <c r="L543" s="86"/>
      <c r="M543" s="86"/>
      <c r="N543" s="86"/>
      <c r="O543" s="83"/>
      <c r="P543" s="84">
        <v>11</v>
      </c>
      <c r="Q543" s="83"/>
      <c r="R543" s="87"/>
      <c r="S543" s="83"/>
      <c r="T543" s="84">
        <v>100</v>
      </c>
      <c r="U543" s="83"/>
      <c r="V543" s="87"/>
      <c r="W543" s="83"/>
      <c r="X543" s="87"/>
      <c r="Y543" s="83"/>
      <c r="Z543" s="87"/>
      <c r="AA543" s="83"/>
      <c r="AB543" s="87"/>
      <c r="AC543" s="83">
        <v>2.4</v>
      </c>
      <c r="AD543" s="90"/>
      <c r="AE543" s="84"/>
    </row>
    <row r="544" spans="1:31" ht="65.25" thickBot="1">
      <c r="A544" s="80"/>
      <c r="B544" s="22" t="s">
        <v>6</v>
      </c>
      <c r="C544" s="84">
        <f aca="true" t="shared" si="95" ref="C544:AE544">SUM(C540:C543)</f>
        <v>38</v>
      </c>
      <c r="D544" s="84">
        <f t="shared" si="95"/>
        <v>0</v>
      </c>
      <c r="E544" s="84">
        <f t="shared" si="95"/>
        <v>0</v>
      </c>
      <c r="F544" s="84">
        <f t="shared" si="95"/>
        <v>0</v>
      </c>
      <c r="G544" s="84">
        <f t="shared" si="95"/>
        <v>13</v>
      </c>
      <c r="H544" s="84">
        <f t="shared" si="95"/>
        <v>0</v>
      </c>
      <c r="I544" s="84">
        <f t="shared" si="95"/>
        <v>66</v>
      </c>
      <c r="J544" s="84">
        <f t="shared" si="95"/>
        <v>230</v>
      </c>
      <c r="K544" s="84">
        <f t="shared" si="95"/>
        <v>0</v>
      </c>
      <c r="L544" s="84">
        <f t="shared" si="95"/>
        <v>0</v>
      </c>
      <c r="M544" s="84">
        <f t="shared" si="95"/>
        <v>85</v>
      </c>
      <c r="N544" s="84">
        <f t="shared" si="95"/>
        <v>0</v>
      </c>
      <c r="O544" s="84">
        <f t="shared" si="95"/>
        <v>0</v>
      </c>
      <c r="P544" s="84">
        <f t="shared" si="95"/>
        <v>11</v>
      </c>
      <c r="Q544" s="84">
        <f t="shared" si="95"/>
        <v>3</v>
      </c>
      <c r="R544" s="84">
        <f t="shared" si="95"/>
        <v>5</v>
      </c>
      <c r="S544" s="84">
        <f t="shared" si="95"/>
        <v>10</v>
      </c>
      <c r="T544" s="84">
        <f t="shared" si="95"/>
        <v>100</v>
      </c>
      <c r="U544" s="84">
        <f t="shared" si="95"/>
        <v>0</v>
      </c>
      <c r="V544" s="84">
        <f t="shared" si="95"/>
        <v>0</v>
      </c>
      <c r="W544" s="84">
        <f t="shared" si="95"/>
        <v>0</v>
      </c>
      <c r="X544" s="84">
        <f t="shared" si="95"/>
        <v>0</v>
      </c>
      <c r="Y544" s="84">
        <f t="shared" si="95"/>
        <v>0</v>
      </c>
      <c r="Z544" s="84">
        <f t="shared" si="95"/>
        <v>6</v>
      </c>
      <c r="AA544" s="84">
        <f t="shared" si="95"/>
        <v>0</v>
      </c>
      <c r="AB544" s="84">
        <f t="shared" si="95"/>
        <v>0</v>
      </c>
      <c r="AC544" s="84">
        <f t="shared" si="95"/>
        <v>2.4</v>
      </c>
      <c r="AD544" s="84">
        <f t="shared" si="95"/>
        <v>0</v>
      </c>
      <c r="AE544" s="84">
        <f t="shared" si="95"/>
        <v>0</v>
      </c>
    </row>
    <row r="545" spans="1:31" ht="194.25" thickBot="1">
      <c r="A545" s="145"/>
      <c r="B545" s="22" t="s">
        <v>150</v>
      </c>
      <c r="C545" s="84"/>
      <c r="D545" s="84"/>
      <c r="E545" s="84"/>
      <c r="F545" s="84"/>
      <c r="G545" s="84"/>
      <c r="H545" s="84"/>
      <c r="I545" s="84"/>
      <c r="J545" s="84"/>
      <c r="K545" s="84"/>
      <c r="L545" s="84"/>
      <c r="M545" s="84"/>
      <c r="N545" s="84"/>
      <c r="O545" s="84"/>
      <c r="P545" s="84"/>
      <c r="Q545" s="84"/>
      <c r="R545" s="84"/>
      <c r="S545" s="84"/>
      <c r="T545" s="84"/>
      <c r="U545" s="84"/>
      <c r="V545" s="84"/>
      <c r="W545" s="84"/>
      <c r="X545" s="84"/>
      <c r="Y545" s="84"/>
      <c r="Z545" s="84"/>
      <c r="AA545" s="84"/>
      <c r="AB545" s="84"/>
      <c r="AC545" s="84"/>
      <c r="AD545" s="88"/>
      <c r="AE545" s="84"/>
    </row>
    <row r="546" spans="1:31" ht="65.25" thickBot="1">
      <c r="A546" s="83"/>
      <c r="B546" s="93" t="s">
        <v>10</v>
      </c>
      <c r="C546" s="84">
        <f aca="true" t="shared" si="96" ref="C546:AE546">C522+C525+C534+C538+C544</f>
        <v>88</v>
      </c>
      <c r="D546" s="84">
        <f t="shared" si="96"/>
        <v>50</v>
      </c>
      <c r="E546" s="84">
        <f t="shared" si="96"/>
        <v>1.5</v>
      </c>
      <c r="F546" s="84">
        <f t="shared" si="96"/>
        <v>9.5</v>
      </c>
      <c r="G546" s="84">
        <f t="shared" si="96"/>
        <v>75</v>
      </c>
      <c r="H546" s="84">
        <f t="shared" si="96"/>
        <v>50</v>
      </c>
      <c r="I546" s="84">
        <f t="shared" si="96"/>
        <v>81</v>
      </c>
      <c r="J546" s="84">
        <f t="shared" si="96"/>
        <v>352.5</v>
      </c>
      <c r="K546" s="84">
        <f t="shared" si="96"/>
        <v>150</v>
      </c>
      <c r="L546" s="84">
        <f t="shared" si="96"/>
        <v>0</v>
      </c>
      <c r="M546" s="84">
        <f t="shared" si="96"/>
        <v>85</v>
      </c>
      <c r="N546" s="84">
        <f t="shared" si="96"/>
        <v>10</v>
      </c>
      <c r="O546" s="84">
        <f t="shared" si="96"/>
        <v>75</v>
      </c>
      <c r="P546" s="84">
        <f t="shared" si="96"/>
        <v>40</v>
      </c>
      <c r="Q546" s="84">
        <f t="shared" si="96"/>
        <v>23</v>
      </c>
      <c r="R546" s="84">
        <f t="shared" si="96"/>
        <v>10</v>
      </c>
      <c r="S546" s="84">
        <f t="shared" si="96"/>
        <v>10</v>
      </c>
      <c r="T546" s="84">
        <f t="shared" si="96"/>
        <v>285</v>
      </c>
      <c r="U546" s="84">
        <f t="shared" si="96"/>
        <v>0</v>
      </c>
      <c r="V546" s="84">
        <f t="shared" si="96"/>
        <v>0</v>
      </c>
      <c r="W546" s="84">
        <f t="shared" si="96"/>
        <v>88</v>
      </c>
      <c r="X546" s="84">
        <f t="shared" si="96"/>
        <v>0</v>
      </c>
      <c r="Y546" s="84">
        <f t="shared" si="96"/>
        <v>0</v>
      </c>
      <c r="Z546" s="84">
        <f t="shared" si="96"/>
        <v>14</v>
      </c>
      <c r="AA546" s="84">
        <f t="shared" si="96"/>
        <v>0</v>
      </c>
      <c r="AB546" s="84">
        <f t="shared" si="96"/>
        <v>0.58</v>
      </c>
      <c r="AC546" s="84">
        <f t="shared" si="96"/>
        <v>2.4</v>
      </c>
      <c r="AD546" s="84">
        <f t="shared" si="96"/>
        <v>0</v>
      </c>
      <c r="AE546" s="84">
        <f t="shared" si="96"/>
        <v>0</v>
      </c>
    </row>
    <row r="547" spans="1:31" ht="89.25" customHeight="1" thickBot="1">
      <c r="A547" s="150" t="s">
        <v>40</v>
      </c>
      <c r="B547" s="151"/>
      <c r="C547" s="151"/>
      <c r="D547" s="151"/>
      <c r="E547" s="151"/>
      <c r="F547" s="151"/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/>
      <c r="AC547" s="151"/>
      <c r="AD547" s="151"/>
      <c r="AE547" s="152"/>
    </row>
    <row r="548" spans="1:31" ht="65.25" thickBot="1">
      <c r="A548" s="150" t="s">
        <v>93</v>
      </c>
      <c r="B548" s="151"/>
      <c r="C548" s="151"/>
      <c r="D548" s="151"/>
      <c r="E548" s="151"/>
      <c r="F548" s="151"/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/>
      <c r="AC548" s="151"/>
      <c r="AD548" s="151"/>
      <c r="AE548" s="152"/>
    </row>
    <row r="549" spans="1:31" ht="46.5" customHeight="1">
      <c r="A549" s="166" t="s">
        <v>30</v>
      </c>
      <c r="B549" s="168" t="s">
        <v>23</v>
      </c>
      <c r="C549" s="153" t="s">
        <v>116</v>
      </c>
      <c r="D549" s="153" t="s">
        <v>117</v>
      </c>
      <c r="E549" s="153" t="s">
        <v>130</v>
      </c>
      <c r="F549" s="153" t="s">
        <v>119</v>
      </c>
      <c r="G549" s="153" t="s">
        <v>131</v>
      </c>
      <c r="H549" s="153" t="s">
        <v>132</v>
      </c>
      <c r="I549" s="153" t="s">
        <v>110</v>
      </c>
      <c r="J549" s="153" t="s">
        <v>257</v>
      </c>
      <c r="K549" s="140"/>
      <c r="L549" s="140"/>
      <c r="M549" s="153" t="s">
        <v>142</v>
      </c>
      <c r="N549" s="153" t="s">
        <v>79</v>
      </c>
      <c r="O549" s="153" t="s">
        <v>139</v>
      </c>
      <c r="P549" s="153" t="s">
        <v>80</v>
      </c>
      <c r="Q549" s="153" t="s">
        <v>124</v>
      </c>
      <c r="R549" s="153" t="s">
        <v>81</v>
      </c>
      <c r="S549" s="153" t="s">
        <v>134</v>
      </c>
      <c r="T549" s="153" t="s">
        <v>135</v>
      </c>
      <c r="U549" s="153" t="s">
        <v>136</v>
      </c>
      <c r="V549" s="140"/>
      <c r="W549" s="153" t="s">
        <v>113</v>
      </c>
      <c r="X549" s="153" t="s">
        <v>129</v>
      </c>
      <c r="Y549" s="153" t="s">
        <v>84</v>
      </c>
      <c r="Z549" s="153" t="s">
        <v>82</v>
      </c>
      <c r="AA549" s="153" t="s">
        <v>83</v>
      </c>
      <c r="AB549" s="153" t="s">
        <v>85</v>
      </c>
      <c r="AC549" s="140"/>
      <c r="AD549" s="158" t="s">
        <v>78</v>
      </c>
      <c r="AE549" s="153" t="s">
        <v>137</v>
      </c>
    </row>
    <row r="550" spans="1:31" ht="409.5" thickBot="1">
      <c r="A550" s="167"/>
      <c r="B550" s="169"/>
      <c r="C550" s="154"/>
      <c r="D550" s="154"/>
      <c r="E550" s="154"/>
      <c r="F550" s="154"/>
      <c r="G550" s="154"/>
      <c r="H550" s="154"/>
      <c r="I550" s="154"/>
      <c r="J550" s="154"/>
      <c r="K550" s="141" t="s">
        <v>133</v>
      </c>
      <c r="L550" s="141" t="s">
        <v>143</v>
      </c>
      <c r="M550" s="154"/>
      <c r="N550" s="154"/>
      <c r="O550" s="154"/>
      <c r="P550" s="154"/>
      <c r="Q550" s="154"/>
      <c r="R550" s="154"/>
      <c r="S550" s="154"/>
      <c r="T550" s="154"/>
      <c r="U550" s="154"/>
      <c r="V550" s="141" t="s">
        <v>140</v>
      </c>
      <c r="W550" s="154"/>
      <c r="X550" s="154"/>
      <c r="Y550" s="154"/>
      <c r="Z550" s="154"/>
      <c r="AA550" s="154"/>
      <c r="AB550" s="154"/>
      <c r="AC550" s="141" t="s">
        <v>77</v>
      </c>
      <c r="AD550" s="159"/>
      <c r="AE550" s="154"/>
    </row>
    <row r="551" spans="1:31" ht="94.5" customHeight="1" thickBot="1">
      <c r="A551" s="145">
        <v>1</v>
      </c>
      <c r="B551" s="79">
        <v>2</v>
      </c>
      <c r="C551" s="80" t="s">
        <v>54</v>
      </c>
      <c r="D551" s="81">
        <v>4</v>
      </c>
      <c r="E551" s="80">
        <v>5</v>
      </c>
      <c r="F551" s="80">
        <v>6</v>
      </c>
      <c r="G551" s="80">
        <v>7</v>
      </c>
      <c r="H551" s="80">
        <v>8</v>
      </c>
      <c r="I551" s="80" t="s">
        <v>55</v>
      </c>
      <c r="J551" s="81">
        <v>10</v>
      </c>
      <c r="K551" s="80">
        <v>11</v>
      </c>
      <c r="L551" s="108">
        <v>12</v>
      </c>
      <c r="M551" s="80">
        <v>13</v>
      </c>
      <c r="N551" s="80">
        <v>14</v>
      </c>
      <c r="O551" s="80">
        <v>15</v>
      </c>
      <c r="P551" s="80">
        <v>16</v>
      </c>
      <c r="Q551" s="143">
        <v>17</v>
      </c>
      <c r="R551" s="80">
        <v>18</v>
      </c>
      <c r="S551" s="143">
        <v>19</v>
      </c>
      <c r="T551" s="80">
        <v>20</v>
      </c>
      <c r="U551" s="143">
        <v>21</v>
      </c>
      <c r="V551" s="143">
        <v>22</v>
      </c>
      <c r="W551" s="80">
        <v>23</v>
      </c>
      <c r="X551" s="80">
        <v>24</v>
      </c>
      <c r="Y551" s="143">
        <v>25</v>
      </c>
      <c r="Z551" s="80">
        <v>26</v>
      </c>
      <c r="AA551" s="80">
        <v>27</v>
      </c>
      <c r="AB551" s="80">
        <v>28</v>
      </c>
      <c r="AC551" s="143">
        <v>29</v>
      </c>
      <c r="AD551" s="142">
        <v>30</v>
      </c>
      <c r="AE551" s="80">
        <v>32</v>
      </c>
    </row>
    <row r="552" spans="1:31" ht="65.25" thickBot="1">
      <c r="A552" s="150" t="s">
        <v>5</v>
      </c>
      <c r="B552" s="151"/>
      <c r="C552" s="151"/>
      <c r="D552" s="151"/>
      <c r="E552" s="151"/>
      <c r="F552" s="151"/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/>
      <c r="AC552" s="151"/>
      <c r="AD552" s="151"/>
      <c r="AE552" s="152"/>
    </row>
    <row r="553" spans="1:31" ht="129.75" thickBot="1">
      <c r="A553" s="84">
        <v>32</v>
      </c>
      <c r="B553" s="25" t="s">
        <v>218</v>
      </c>
      <c r="C553" s="84"/>
      <c r="D553" s="85"/>
      <c r="E553" s="85"/>
      <c r="F553" s="85"/>
      <c r="G553" s="85">
        <v>18</v>
      </c>
      <c r="H553" s="86"/>
      <c r="I553" s="86"/>
      <c r="J553" s="86"/>
      <c r="K553" s="86"/>
      <c r="L553" s="86"/>
      <c r="M553" s="86"/>
      <c r="N553" s="86"/>
      <c r="O553" s="86"/>
      <c r="P553" s="86">
        <v>5</v>
      </c>
      <c r="Q553" s="86">
        <v>2</v>
      </c>
      <c r="R553" s="86"/>
      <c r="S553" s="86"/>
      <c r="T553" s="86">
        <v>136</v>
      </c>
      <c r="U553" s="87"/>
      <c r="V553" s="84"/>
      <c r="W553" s="87"/>
      <c r="X553" s="84"/>
      <c r="Y553" s="86"/>
      <c r="Z553" s="86"/>
      <c r="AA553" s="86"/>
      <c r="AB553" s="86"/>
      <c r="AC553" s="86"/>
      <c r="AD553" s="87"/>
      <c r="AE553" s="83"/>
    </row>
    <row r="554" spans="1:31" ht="65.25" thickBot="1">
      <c r="A554" s="83">
        <v>15</v>
      </c>
      <c r="B554" s="22" t="s">
        <v>224</v>
      </c>
      <c r="C554" s="84"/>
      <c r="D554" s="85"/>
      <c r="E554" s="85"/>
      <c r="F554" s="85"/>
      <c r="G554" s="85"/>
      <c r="H554" s="86"/>
      <c r="I554" s="86"/>
      <c r="J554" s="86"/>
      <c r="K554" s="86"/>
      <c r="L554" s="86"/>
      <c r="M554" s="86"/>
      <c r="N554" s="86"/>
      <c r="O554" s="87"/>
      <c r="P554" s="84">
        <v>11</v>
      </c>
      <c r="Q554" s="87"/>
      <c r="R554" s="84"/>
      <c r="S554" s="87"/>
      <c r="T554" s="84">
        <v>100</v>
      </c>
      <c r="U554" s="87"/>
      <c r="V554" s="83"/>
      <c r="W554" s="84"/>
      <c r="X554" s="83"/>
      <c r="Y554" s="87"/>
      <c r="Z554" s="84"/>
      <c r="AA554" s="84"/>
      <c r="AB554" s="87"/>
      <c r="AC554" s="83"/>
      <c r="AD554" s="88">
        <v>1.3</v>
      </c>
      <c r="AE554" s="84"/>
    </row>
    <row r="555" spans="1:31" ht="65.25" thickBot="1">
      <c r="A555" s="83">
        <v>16</v>
      </c>
      <c r="B555" s="22" t="s">
        <v>36</v>
      </c>
      <c r="C555" s="86">
        <v>25</v>
      </c>
      <c r="D555" s="85"/>
      <c r="E555" s="85"/>
      <c r="F555" s="85"/>
      <c r="G555" s="85"/>
      <c r="H555" s="86"/>
      <c r="I555" s="86"/>
      <c r="J555" s="86"/>
      <c r="K555" s="86"/>
      <c r="L555" s="86"/>
      <c r="M555" s="86"/>
      <c r="N555" s="86"/>
      <c r="O555" s="87"/>
      <c r="P555" s="84"/>
      <c r="Q555" s="84">
        <v>5</v>
      </c>
      <c r="R555" s="84"/>
      <c r="S555" s="87"/>
      <c r="T555" s="84"/>
      <c r="U555" s="87"/>
      <c r="V555" s="83"/>
      <c r="W555" s="84"/>
      <c r="X555" s="83"/>
      <c r="Y555" s="87"/>
      <c r="Z555" s="84"/>
      <c r="AA555" s="84"/>
      <c r="AB555" s="87"/>
      <c r="AC555" s="83"/>
      <c r="AD555" s="88"/>
      <c r="AE555" s="84"/>
    </row>
    <row r="556" spans="1:31" ht="65.25" thickBot="1">
      <c r="A556" s="83"/>
      <c r="B556" s="22" t="s">
        <v>6</v>
      </c>
      <c r="C556" s="84">
        <f>SUM(C553+C554+C555)</f>
        <v>25</v>
      </c>
      <c r="D556" s="84">
        <f aca="true" t="shared" si="97" ref="D556:AE556">SUM(D553+D554+D555)</f>
        <v>0</v>
      </c>
      <c r="E556" s="84">
        <f t="shared" si="97"/>
        <v>0</v>
      </c>
      <c r="F556" s="84">
        <f t="shared" si="97"/>
        <v>0</v>
      </c>
      <c r="G556" s="84">
        <f t="shared" si="97"/>
        <v>18</v>
      </c>
      <c r="H556" s="84">
        <f t="shared" si="97"/>
        <v>0</v>
      </c>
      <c r="I556" s="84">
        <f t="shared" si="97"/>
        <v>0</v>
      </c>
      <c r="J556" s="84">
        <f t="shared" si="97"/>
        <v>0</v>
      </c>
      <c r="K556" s="84">
        <f t="shared" si="97"/>
        <v>0</v>
      </c>
      <c r="L556" s="84">
        <f t="shared" si="97"/>
        <v>0</v>
      </c>
      <c r="M556" s="84">
        <f t="shared" si="97"/>
        <v>0</v>
      </c>
      <c r="N556" s="84">
        <f t="shared" si="97"/>
        <v>0</v>
      </c>
      <c r="O556" s="84">
        <f t="shared" si="97"/>
        <v>0</v>
      </c>
      <c r="P556" s="84">
        <f t="shared" si="97"/>
        <v>16</v>
      </c>
      <c r="Q556" s="84">
        <f t="shared" si="97"/>
        <v>7</v>
      </c>
      <c r="R556" s="84">
        <f t="shared" si="97"/>
        <v>0</v>
      </c>
      <c r="S556" s="84">
        <f t="shared" si="97"/>
        <v>0</v>
      </c>
      <c r="T556" s="84">
        <f t="shared" si="97"/>
        <v>236</v>
      </c>
      <c r="U556" s="84">
        <f t="shared" si="97"/>
        <v>0</v>
      </c>
      <c r="V556" s="84">
        <f t="shared" si="97"/>
        <v>0</v>
      </c>
      <c r="W556" s="84">
        <f t="shared" si="97"/>
        <v>0</v>
      </c>
      <c r="X556" s="84">
        <f t="shared" si="97"/>
        <v>0</v>
      </c>
      <c r="Y556" s="84">
        <f t="shared" si="97"/>
        <v>0</v>
      </c>
      <c r="Z556" s="84">
        <f t="shared" si="97"/>
        <v>0</v>
      </c>
      <c r="AA556" s="84">
        <f t="shared" si="97"/>
        <v>0</v>
      </c>
      <c r="AB556" s="84">
        <f t="shared" si="97"/>
        <v>0</v>
      </c>
      <c r="AC556" s="84">
        <f t="shared" si="97"/>
        <v>0</v>
      </c>
      <c r="AD556" s="88">
        <f t="shared" si="97"/>
        <v>1.3</v>
      </c>
      <c r="AE556" s="84">
        <f t="shared" si="97"/>
        <v>0</v>
      </c>
    </row>
    <row r="557" spans="1:31" ht="65.25" thickBot="1">
      <c r="A557" s="155" t="s">
        <v>53</v>
      </c>
      <c r="B557" s="156"/>
      <c r="C557" s="156"/>
      <c r="D557" s="156"/>
      <c r="E557" s="156"/>
      <c r="F557" s="156"/>
      <c r="G557" s="156"/>
      <c r="H557" s="156"/>
      <c r="I557" s="156"/>
      <c r="J557" s="156"/>
      <c r="K557" s="156"/>
      <c r="L557" s="156"/>
      <c r="M557" s="156"/>
      <c r="N557" s="156"/>
      <c r="O557" s="156"/>
      <c r="P557" s="156"/>
      <c r="Q557" s="156"/>
      <c r="R557" s="156"/>
      <c r="S557" s="156"/>
      <c r="T557" s="156"/>
      <c r="U557" s="156"/>
      <c r="V557" s="156"/>
      <c r="W557" s="156"/>
      <c r="X557" s="156"/>
      <c r="Y557" s="156"/>
      <c r="Z557" s="156"/>
      <c r="AA557" s="156"/>
      <c r="AB557" s="156"/>
      <c r="AC557" s="156"/>
      <c r="AD557" s="156"/>
      <c r="AE557" s="157"/>
    </row>
    <row r="558" spans="1:31" ht="65.25" thickBot="1">
      <c r="A558" s="83" t="s">
        <v>32</v>
      </c>
      <c r="B558" s="25" t="s">
        <v>182</v>
      </c>
      <c r="C558" s="84"/>
      <c r="D558" s="86"/>
      <c r="E558" s="86"/>
      <c r="F558" s="86"/>
      <c r="G558" s="86"/>
      <c r="H558" s="86"/>
      <c r="I558" s="86"/>
      <c r="J558" s="86"/>
      <c r="K558" s="86">
        <v>150</v>
      </c>
      <c r="L558" s="86"/>
      <c r="M558" s="86"/>
      <c r="N558" s="86"/>
      <c r="O558" s="87"/>
      <c r="P558" s="84"/>
      <c r="Q558" s="87"/>
      <c r="R558" s="84"/>
      <c r="S558" s="87"/>
      <c r="T558" s="84"/>
      <c r="U558" s="87"/>
      <c r="V558" s="84"/>
      <c r="W558" s="84"/>
      <c r="X558" s="87"/>
      <c r="Y558" s="84"/>
      <c r="Z558" s="84"/>
      <c r="AA558" s="87"/>
      <c r="AB558" s="84"/>
      <c r="AC558" s="87"/>
      <c r="AD558" s="88"/>
      <c r="AE558" s="83"/>
    </row>
    <row r="559" spans="1:31" ht="65.25" thickBot="1">
      <c r="A559" s="83"/>
      <c r="B559" s="22" t="s">
        <v>29</v>
      </c>
      <c r="C559" s="86">
        <f>SUM(C558)</f>
        <v>0</v>
      </c>
      <c r="D559" s="86">
        <f>SUM(D558)</f>
        <v>0</v>
      </c>
      <c r="E559" s="86">
        <f aca="true" t="shared" si="98" ref="E559:AD559">SUM(E558)</f>
        <v>0</v>
      </c>
      <c r="F559" s="86">
        <f t="shared" si="98"/>
        <v>0</v>
      </c>
      <c r="G559" s="86">
        <f t="shared" si="98"/>
        <v>0</v>
      </c>
      <c r="H559" s="86">
        <f t="shared" si="98"/>
        <v>0</v>
      </c>
      <c r="I559" s="86">
        <f t="shared" si="98"/>
        <v>0</v>
      </c>
      <c r="J559" s="86">
        <f t="shared" si="98"/>
        <v>0</v>
      </c>
      <c r="K559" s="86">
        <f t="shared" si="98"/>
        <v>150</v>
      </c>
      <c r="L559" s="86">
        <f t="shared" si="98"/>
        <v>0</v>
      </c>
      <c r="M559" s="86">
        <f t="shared" si="98"/>
        <v>0</v>
      </c>
      <c r="N559" s="86">
        <f t="shared" si="98"/>
        <v>0</v>
      </c>
      <c r="O559" s="86">
        <f t="shared" si="98"/>
        <v>0</v>
      </c>
      <c r="P559" s="86">
        <f t="shared" si="98"/>
        <v>0</v>
      </c>
      <c r="Q559" s="86">
        <f t="shared" si="98"/>
        <v>0</v>
      </c>
      <c r="R559" s="86">
        <f t="shared" si="98"/>
        <v>0</v>
      </c>
      <c r="S559" s="86">
        <f t="shared" si="98"/>
        <v>0</v>
      </c>
      <c r="T559" s="86">
        <f t="shared" si="98"/>
        <v>0</v>
      </c>
      <c r="U559" s="86">
        <f t="shared" si="98"/>
        <v>0</v>
      </c>
      <c r="V559" s="86">
        <f t="shared" si="98"/>
        <v>0</v>
      </c>
      <c r="W559" s="86">
        <f t="shared" si="98"/>
        <v>0</v>
      </c>
      <c r="X559" s="86">
        <f t="shared" si="98"/>
        <v>0</v>
      </c>
      <c r="Y559" s="86">
        <f t="shared" si="98"/>
        <v>0</v>
      </c>
      <c r="Z559" s="86">
        <f t="shared" si="98"/>
        <v>0</v>
      </c>
      <c r="AA559" s="86">
        <f t="shared" si="98"/>
        <v>0</v>
      </c>
      <c r="AB559" s="86">
        <f t="shared" si="98"/>
        <v>0</v>
      </c>
      <c r="AC559" s="86">
        <f t="shared" si="98"/>
        <v>0</v>
      </c>
      <c r="AD559" s="87">
        <f t="shared" si="98"/>
        <v>0</v>
      </c>
      <c r="AE559" s="83">
        <f>SUM(AE558)</f>
        <v>0</v>
      </c>
    </row>
    <row r="560" spans="1:31" ht="65.25" thickBot="1">
      <c r="A560" s="150" t="s">
        <v>8</v>
      </c>
      <c r="B560" s="151"/>
      <c r="C560" s="151"/>
      <c r="D560" s="151"/>
      <c r="E560" s="151"/>
      <c r="F560" s="151"/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/>
      <c r="AC560" s="151"/>
      <c r="AD560" s="151"/>
      <c r="AE560" s="152"/>
    </row>
    <row r="561" spans="1:31" ht="129.75" thickBot="1">
      <c r="A561" s="84">
        <v>12</v>
      </c>
      <c r="B561" s="22" t="s">
        <v>227</v>
      </c>
      <c r="C561" s="84"/>
      <c r="D561" s="86"/>
      <c r="E561" s="86"/>
      <c r="F561" s="86"/>
      <c r="G561" s="86"/>
      <c r="H561" s="86"/>
      <c r="I561" s="86"/>
      <c r="J561" s="86">
        <v>59.9</v>
      </c>
      <c r="K561" s="86"/>
      <c r="L561" s="86"/>
      <c r="M561" s="86"/>
      <c r="N561" s="86"/>
      <c r="O561" s="87"/>
      <c r="P561" s="83">
        <v>2</v>
      </c>
      <c r="Q561" s="87"/>
      <c r="R561" s="83">
        <v>6</v>
      </c>
      <c r="S561" s="87"/>
      <c r="T561" s="83"/>
      <c r="U561" s="87"/>
      <c r="V561" s="84"/>
      <c r="W561" s="83"/>
      <c r="X561" s="87"/>
      <c r="Y561" s="84"/>
      <c r="Z561" s="83"/>
      <c r="AA561" s="87"/>
      <c r="AB561" s="83"/>
      <c r="AC561" s="84"/>
      <c r="AD561" s="87"/>
      <c r="AE561" s="80"/>
    </row>
    <row r="562" spans="1:31" ht="129.75" thickBot="1">
      <c r="A562" s="83">
        <v>60</v>
      </c>
      <c r="B562" s="22" t="s">
        <v>208</v>
      </c>
      <c r="C562" s="83"/>
      <c r="D562" s="86"/>
      <c r="E562" s="86"/>
      <c r="F562" s="86"/>
      <c r="G562" s="86"/>
      <c r="H562" s="86"/>
      <c r="I562" s="86">
        <v>69</v>
      </c>
      <c r="J562" s="86">
        <v>13</v>
      </c>
      <c r="K562" s="86"/>
      <c r="L562" s="86"/>
      <c r="M562" s="86"/>
      <c r="N562" s="86"/>
      <c r="O562" s="86"/>
      <c r="P562" s="86"/>
      <c r="Q562" s="86">
        <v>2</v>
      </c>
      <c r="R562" s="86"/>
      <c r="S562" s="86">
        <v>3</v>
      </c>
      <c r="T562" s="86"/>
      <c r="U562" s="86"/>
      <c r="V562" s="86"/>
      <c r="W562" s="86">
        <v>32</v>
      </c>
      <c r="X562" s="86"/>
      <c r="Y562" s="86"/>
      <c r="Z562" s="86"/>
      <c r="AA562" s="86"/>
      <c r="AB562" s="86"/>
      <c r="AC562" s="86"/>
      <c r="AD562" s="87"/>
      <c r="AE562" s="83"/>
    </row>
    <row r="563" spans="1:31" ht="129.75" thickBot="1">
      <c r="A563" s="84">
        <v>29</v>
      </c>
      <c r="B563" s="22" t="s">
        <v>163</v>
      </c>
      <c r="C563" s="86">
        <v>24</v>
      </c>
      <c r="D563" s="86"/>
      <c r="E563" s="86"/>
      <c r="F563" s="86"/>
      <c r="G563" s="86"/>
      <c r="H563" s="86"/>
      <c r="I563" s="86"/>
      <c r="J563" s="86">
        <v>9</v>
      </c>
      <c r="K563" s="86"/>
      <c r="L563" s="86"/>
      <c r="M563" s="86"/>
      <c r="N563" s="86"/>
      <c r="O563" s="86"/>
      <c r="P563" s="86"/>
      <c r="Q563" s="86"/>
      <c r="R563" s="86">
        <v>6</v>
      </c>
      <c r="S563" s="86">
        <v>11</v>
      </c>
      <c r="T563" s="86">
        <v>14</v>
      </c>
      <c r="U563" s="86"/>
      <c r="V563" s="86"/>
      <c r="W563" s="86"/>
      <c r="X563" s="86"/>
      <c r="Y563" s="86">
        <v>66</v>
      </c>
      <c r="Z563" s="86"/>
      <c r="AA563" s="86"/>
      <c r="AB563" s="86"/>
      <c r="AC563" s="86"/>
      <c r="AD563" s="87"/>
      <c r="AE563" s="83"/>
    </row>
    <row r="564" spans="1:31" ht="65.25" thickBot="1">
      <c r="A564" s="84">
        <v>8</v>
      </c>
      <c r="B564" s="22" t="s">
        <v>37</v>
      </c>
      <c r="C564" s="84"/>
      <c r="D564" s="86"/>
      <c r="E564" s="86"/>
      <c r="F564" s="86"/>
      <c r="G564" s="86"/>
      <c r="H564" s="86"/>
      <c r="I564" s="86">
        <v>111</v>
      </c>
      <c r="J564" s="86"/>
      <c r="K564" s="86"/>
      <c r="L564" s="86"/>
      <c r="M564" s="86"/>
      <c r="N564" s="86"/>
      <c r="O564" s="87"/>
      <c r="P564" s="83"/>
      <c r="Q564" s="87">
        <v>5</v>
      </c>
      <c r="R564" s="83"/>
      <c r="S564" s="87"/>
      <c r="T564" s="83">
        <v>20</v>
      </c>
      <c r="U564" s="90"/>
      <c r="V564" s="83"/>
      <c r="W564" s="83"/>
      <c r="X564" s="87"/>
      <c r="Y564" s="83"/>
      <c r="Z564" s="83"/>
      <c r="AA564" s="87"/>
      <c r="AB564" s="83"/>
      <c r="AC564" s="87"/>
      <c r="AD564" s="90"/>
      <c r="AE564" s="83"/>
    </row>
    <row r="565" spans="1:31" ht="65.25" thickBot="1">
      <c r="A565" s="84">
        <v>9</v>
      </c>
      <c r="B565" s="22" t="s">
        <v>43</v>
      </c>
      <c r="C565" s="84"/>
      <c r="D565" s="86"/>
      <c r="E565" s="86"/>
      <c r="F565" s="86"/>
      <c r="G565" s="86"/>
      <c r="H565" s="86"/>
      <c r="I565" s="86"/>
      <c r="J565" s="86"/>
      <c r="K565" s="86"/>
      <c r="L565" s="86"/>
      <c r="M565" s="86"/>
      <c r="N565" s="86">
        <v>18</v>
      </c>
      <c r="O565" s="87"/>
      <c r="P565" s="83">
        <v>13</v>
      </c>
      <c r="Q565" s="87"/>
      <c r="R565" s="83"/>
      <c r="S565" s="87"/>
      <c r="T565" s="83"/>
      <c r="U565" s="83"/>
      <c r="V565" s="87"/>
      <c r="W565" s="83"/>
      <c r="X565" s="87"/>
      <c r="Y565" s="83"/>
      <c r="Z565" s="83"/>
      <c r="AA565" s="87"/>
      <c r="AB565" s="83"/>
      <c r="AC565" s="87"/>
      <c r="AD565" s="90"/>
      <c r="AE565" s="83"/>
    </row>
    <row r="566" spans="1:31" ht="129.75" thickBot="1">
      <c r="A566" s="83" t="s">
        <v>32</v>
      </c>
      <c r="B566" s="22" t="s">
        <v>56</v>
      </c>
      <c r="C566" s="84">
        <v>25</v>
      </c>
      <c r="D566" s="86"/>
      <c r="E566" s="86"/>
      <c r="F566" s="86"/>
      <c r="G566" s="86"/>
      <c r="H566" s="86"/>
      <c r="I566" s="86"/>
      <c r="J566" s="86"/>
      <c r="K566" s="86"/>
      <c r="L566" s="86"/>
      <c r="M566" s="86"/>
      <c r="N566" s="86"/>
      <c r="O566" s="86"/>
      <c r="P566" s="86"/>
      <c r="Q566" s="86"/>
      <c r="R566" s="86"/>
      <c r="S566" s="86"/>
      <c r="T566" s="86"/>
      <c r="U566" s="87"/>
      <c r="V566" s="83"/>
      <c r="W566" s="86"/>
      <c r="X566" s="87"/>
      <c r="Y566" s="83"/>
      <c r="Z566" s="86"/>
      <c r="AA566" s="86"/>
      <c r="AB566" s="86"/>
      <c r="AC566" s="86"/>
      <c r="AD566" s="87"/>
      <c r="AE566" s="83"/>
    </row>
    <row r="567" spans="1:31" ht="129.75" thickBot="1">
      <c r="A567" s="83" t="s">
        <v>32</v>
      </c>
      <c r="B567" s="22" t="s">
        <v>58</v>
      </c>
      <c r="C567" s="84"/>
      <c r="D567" s="86">
        <v>50</v>
      </c>
      <c r="E567" s="86"/>
      <c r="F567" s="86"/>
      <c r="G567" s="86"/>
      <c r="H567" s="86"/>
      <c r="I567" s="85"/>
      <c r="J567" s="85"/>
      <c r="K567" s="85"/>
      <c r="L567" s="85"/>
      <c r="M567" s="85"/>
      <c r="N567" s="85"/>
      <c r="O567" s="85"/>
      <c r="P567" s="85"/>
      <c r="Q567" s="85"/>
      <c r="R567" s="85"/>
      <c r="S567" s="85"/>
      <c r="T567" s="85"/>
      <c r="U567" s="85"/>
      <c r="V567" s="85"/>
      <c r="W567" s="85"/>
      <c r="X567" s="85"/>
      <c r="Y567" s="85"/>
      <c r="Z567" s="85"/>
      <c r="AA567" s="85"/>
      <c r="AB567" s="85"/>
      <c r="AC567" s="85"/>
      <c r="AD567" s="91"/>
      <c r="AE567" s="83"/>
    </row>
    <row r="568" spans="1:31" ht="65.25" thickBot="1">
      <c r="A568" s="84"/>
      <c r="B568" s="25" t="s">
        <v>29</v>
      </c>
      <c r="C568" s="84">
        <f aca="true" t="shared" si="99" ref="C568:AE568">SUM(C561:C567)</f>
        <v>49</v>
      </c>
      <c r="D568" s="84">
        <f t="shared" si="99"/>
        <v>50</v>
      </c>
      <c r="E568" s="84">
        <f t="shared" si="99"/>
        <v>0</v>
      </c>
      <c r="F568" s="84">
        <f t="shared" si="99"/>
        <v>0</v>
      </c>
      <c r="G568" s="84">
        <f t="shared" si="99"/>
        <v>0</v>
      </c>
      <c r="H568" s="84">
        <f t="shared" si="99"/>
        <v>0</v>
      </c>
      <c r="I568" s="84">
        <f t="shared" si="99"/>
        <v>180</v>
      </c>
      <c r="J568" s="84">
        <f t="shared" si="99"/>
        <v>81.9</v>
      </c>
      <c r="K568" s="84">
        <f t="shared" si="99"/>
        <v>0</v>
      </c>
      <c r="L568" s="84">
        <f t="shared" si="99"/>
        <v>0</v>
      </c>
      <c r="M568" s="84">
        <f t="shared" si="99"/>
        <v>0</v>
      </c>
      <c r="N568" s="84">
        <f t="shared" si="99"/>
        <v>18</v>
      </c>
      <c r="O568" s="84">
        <f t="shared" si="99"/>
        <v>0</v>
      </c>
      <c r="P568" s="84">
        <f t="shared" si="99"/>
        <v>15</v>
      </c>
      <c r="Q568" s="84">
        <f t="shared" si="99"/>
        <v>7</v>
      </c>
      <c r="R568" s="84">
        <f t="shared" si="99"/>
        <v>12</v>
      </c>
      <c r="S568" s="84">
        <f t="shared" si="99"/>
        <v>14</v>
      </c>
      <c r="T568" s="84">
        <f t="shared" si="99"/>
        <v>34</v>
      </c>
      <c r="U568" s="84">
        <f t="shared" si="99"/>
        <v>0</v>
      </c>
      <c r="V568" s="84">
        <f t="shared" si="99"/>
        <v>0</v>
      </c>
      <c r="W568" s="84">
        <f t="shared" si="99"/>
        <v>32</v>
      </c>
      <c r="X568" s="84">
        <f t="shared" si="99"/>
        <v>0</v>
      </c>
      <c r="Y568" s="84">
        <f t="shared" si="99"/>
        <v>66</v>
      </c>
      <c r="Z568" s="84">
        <f t="shared" si="99"/>
        <v>0</v>
      </c>
      <c r="AA568" s="84">
        <f t="shared" si="99"/>
        <v>0</v>
      </c>
      <c r="AB568" s="84">
        <f t="shared" si="99"/>
        <v>0</v>
      </c>
      <c r="AC568" s="84">
        <f t="shared" si="99"/>
        <v>0</v>
      </c>
      <c r="AD568" s="88">
        <f t="shared" si="99"/>
        <v>0</v>
      </c>
      <c r="AE568" s="84">
        <f t="shared" si="99"/>
        <v>0</v>
      </c>
    </row>
    <row r="569" spans="1:31" ht="65.25" thickBot="1">
      <c r="A569" s="150" t="s">
        <v>145</v>
      </c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/>
      <c r="AC569" s="151"/>
      <c r="AD569" s="151"/>
      <c r="AE569" s="152"/>
    </row>
    <row r="570" spans="1:31" ht="129.75" thickBot="1">
      <c r="A570" s="92">
        <v>21.1</v>
      </c>
      <c r="B570" s="27" t="s">
        <v>172</v>
      </c>
      <c r="C570" s="83"/>
      <c r="D570" s="86"/>
      <c r="E570" s="83"/>
      <c r="F570" s="83"/>
      <c r="G570" s="83"/>
      <c r="H570" s="86"/>
      <c r="I570" s="86"/>
      <c r="J570" s="86"/>
      <c r="K570" s="86"/>
      <c r="L570" s="86"/>
      <c r="M570" s="86"/>
      <c r="N570" s="86"/>
      <c r="O570" s="87"/>
      <c r="P570" s="84"/>
      <c r="Q570" s="87"/>
      <c r="R570" s="84"/>
      <c r="S570" s="87"/>
      <c r="T570" s="84">
        <v>185</v>
      </c>
      <c r="U570" s="87"/>
      <c r="V570" s="84"/>
      <c r="W570" s="84"/>
      <c r="X570" s="87"/>
      <c r="Y570" s="84"/>
      <c r="Z570" s="84"/>
      <c r="AA570" s="87"/>
      <c r="AB570" s="84"/>
      <c r="AC570" s="87"/>
      <c r="AD570" s="88"/>
      <c r="AE570" s="83"/>
    </row>
    <row r="571" spans="1:31" ht="65.25" thickBot="1">
      <c r="A571" s="83">
        <v>11</v>
      </c>
      <c r="B571" s="22" t="s">
        <v>219</v>
      </c>
      <c r="C571" s="84"/>
      <c r="D571" s="86"/>
      <c r="E571" s="86">
        <v>46</v>
      </c>
      <c r="F571" s="86"/>
      <c r="G571" s="86"/>
      <c r="H571" s="86"/>
      <c r="I571" s="86"/>
      <c r="J571" s="86"/>
      <c r="K571" s="86"/>
      <c r="L571" s="86"/>
      <c r="M571" s="86"/>
      <c r="N571" s="86"/>
      <c r="O571" s="86"/>
      <c r="P571" s="86">
        <v>2</v>
      </c>
      <c r="Q571" s="86">
        <v>5.5</v>
      </c>
      <c r="R571" s="86">
        <v>1</v>
      </c>
      <c r="S571" s="86">
        <v>7</v>
      </c>
      <c r="T571" s="86">
        <v>9</v>
      </c>
      <c r="U571" s="86"/>
      <c r="V571" s="86"/>
      <c r="W571" s="86"/>
      <c r="X571" s="86"/>
      <c r="Y571" s="86"/>
      <c r="Z571" s="86"/>
      <c r="AA571" s="86">
        <v>19</v>
      </c>
      <c r="AB571" s="86"/>
      <c r="AC571" s="86"/>
      <c r="AD571" s="87"/>
      <c r="AE571" s="84">
        <v>1.5</v>
      </c>
    </row>
    <row r="572" spans="1:31" ht="65.25" thickBot="1">
      <c r="A572" s="84"/>
      <c r="B572" s="22" t="s">
        <v>29</v>
      </c>
      <c r="C572" s="84">
        <f>C570+C571</f>
        <v>0</v>
      </c>
      <c r="D572" s="84">
        <f aca="true" t="shared" si="100" ref="D572:AE572">D570+D571</f>
        <v>0</v>
      </c>
      <c r="E572" s="84">
        <f t="shared" si="100"/>
        <v>46</v>
      </c>
      <c r="F572" s="84">
        <f t="shared" si="100"/>
        <v>0</v>
      </c>
      <c r="G572" s="84">
        <f t="shared" si="100"/>
        <v>0</v>
      </c>
      <c r="H572" s="84">
        <f t="shared" si="100"/>
        <v>0</v>
      </c>
      <c r="I572" s="84">
        <f t="shared" si="100"/>
        <v>0</v>
      </c>
      <c r="J572" s="84">
        <f t="shared" si="100"/>
        <v>0</v>
      </c>
      <c r="K572" s="84">
        <f t="shared" si="100"/>
        <v>0</v>
      </c>
      <c r="L572" s="84">
        <f t="shared" si="100"/>
        <v>0</v>
      </c>
      <c r="M572" s="84">
        <f t="shared" si="100"/>
        <v>0</v>
      </c>
      <c r="N572" s="84">
        <f t="shared" si="100"/>
        <v>0</v>
      </c>
      <c r="O572" s="84">
        <f t="shared" si="100"/>
        <v>0</v>
      </c>
      <c r="P572" s="84">
        <f t="shared" si="100"/>
        <v>2</v>
      </c>
      <c r="Q572" s="84">
        <f t="shared" si="100"/>
        <v>5.5</v>
      </c>
      <c r="R572" s="84">
        <f t="shared" si="100"/>
        <v>1</v>
      </c>
      <c r="S572" s="84">
        <f t="shared" si="100"/>
        <v>7</v>
      </c>
      <c r="T572" s="84">
        <f t="shared" si="100"/>
        <v>194</v>
      </c>
      <c r="U572" s="84">
        <f t="shared" si="100"/>
        <v>0</v>
      </c>
      <c r="V572" s="84">
        <f t="shared" si="100"/>
        <v>0</v>
      </c>
      <c r="W572" s="84">
        <f t="shared" si="100"/>
        <v>0</v>
      </c>
      <c r="X572" s="84">
        <f t="shared" si="100"/>
        <v>0</v>
      </c>
      <c r="Y572" s="84">
        <f t="shared" si="100"/>
        <v>0</v>
      </c>
      <c r="Z572" s="84">
        <f t="shared" si="100"/>
        <v>0</v>
      </c>
      <c r="AA572" s="84">
        <f t="shared" si="100"/>
        <v>19</v>
      </c>
      <c r="AB572" s="84">
        <f t="shared" si="100"/>
        <v>0</v>
      </c>
      <c r="AC572" s="84">
        <f t="shared" si="100"/>
        <v>0</v>
      </c>
      <c r="AD572" s="84">
        <f t="shared" si="100"/>
        <v>0</v>
      </c>
      <c r="AE572" s="84">
        <f t="shared" si="100"/>
        <v>1.5</v>
      </c>
    </row>
    <row r="573" spans="1:31" ht="65.25" thickBot="1">
      <c r="A573" s="150" t="s">
        <v>144</v>
      </c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/>
      <c r="AC573" s="151"/>
      <c r="AD573" s="151"/>
      <c r="AE573" s="152"/>
    </row>
    <row r="574" spans="1:31" ht="129.75" thickBot="1">
      <c r="A574" s="84">
        <v>37</v>
      </c>
      <c r="B574" s="25" t="s">
        <v>35</v>
      </c>
      <c r="C574" s="84"/>
      <c r="D574" s="85"/>
      <c r="E574" s="85"/>
      <c r="F574" s="85"/>
      <c r="G574" s="85"/>
      <c r="H574" s="86"/>
      <c r="I574" s="86"/>
      <c r="J574" s="86"/>
      <c r="K574" s="86"/>
      <c r="L574" s="86"/>
      <c r="M574" s="86"/>
      <c r="N574" s="86"/>
      <c r="O574" s="86"/>
      <c r="P574" s="86"/>
      <c r="Q574" s="86">
        <v>3</v>
      </c>
      <c r="R574" s="86"/>
      <c r="S574" s="86">
        <v>80</v>
      </c>
      <c r="T574" s="86">
        <v>73</v>
      </c>
      <c r="U574" s="87"/>
      <c r="V574" s="84"/>
      <c r="W574" s="87"/>
      <c r="X574" s="84"/>
      <c r="Y574" s="86"/>
      <c r="Z574" s="86"/>
      <c r="AA574" s="86"/>
      <c r="AB574" s="86"/>
      <c r="AC574" s="86"/>
      <c r="AD574" s="87"/>
      <c r="AE574" s="83"/>
    </row>
    <row r="575" spans="1:31" ht="65.25" thickBot="1">
      <c r="A575" s="84">
        <v>41</v>
      </c>
      <c r="B575" s="22" t="s">
        <v>101</v>
      </c>
      <c r="C575" s="84"/>
      <c r="D575" s="86"/>
      <c r="E575" s="86"/>
      <c r="F575" s="86"/>
      <c r="G575" s="86"/>
      <c r="H575" s="86"/>
      <c r="I575" s="86"/>
      <c r="J575" s="86">
        <v>63</v>
      </c>
      <c r="K575" s="86"/>
      <c r="L575" s="86"/>
      <c r="M575" s="86"/>
      <c r="N575" s="87"/>
      <c r="O575" s="83"/>
      <c r="P575" s="83"/>
      <c r="Q575" s="87"/>
      <c r="R575" s="83"/>
      <c r="S575" s="83"/>
      <c r="T575" s="87"/>
      <c r="U575" s="84"/>
      <c r="V575" s="83"/>
      <c r="W575" s="87"/>
      <c r="X575" s="84"/>
      <c r="Y575" s="83"/>
      <c r="Z575" s="87"/>
      <c r="AA575" s="83"/>
      <c r="AB575" s="84"/>
      <c r="AC575" s="87"/>
      <c r="AD575" s="90"/>
      <c r="AE575" s="83"/>
    </row>
    <row r="576" spans="1:31" ht="129.75" thickBot="1">
      <c r="A576" s="83" t="s">
        <v>32</v>
      </c>
      <c r="B576" s="22" t="s">
        <v>56</v>
      </c>
      <c r="C576" s="84">
        <v>25</v>
      </c>
      <c r="D576" s="86"/>
      <c r="E576" s="86"/>
      <c r="F576" s="86"/>
      <c r="G576" s="86"/>
      <c r="H576" s="86"/>
      <c r="I576" s="86"/>
      <c r="J576" s="86"/>
      <c r="K576" s="86"/>
      <c r="L576" s="86"/>
      <c r="M576" s="86"/>
      <c r="N576" s="86"/>
      <c r="O576" s="86"/>
      <c r="P576" s="86"/>
      <c r="Q576" s="86"/>
      <c r="R576" s="86"/>
      <c r="S576" s="86"/>
      <c r="T576" s="87"/>
      <c r="U576" s="83"/>
      <c r="V576" s="86"/>
      <c r="W576" s="87"/>
      <c r="X576" s="83"/>
      <c r="Y576" s="86"/>
      <c r="Z576" s="86"/>
      <c r="AA576" s="86"/>
      <c r="AB576" s="86"/>
      <c r="AC576" s="86"/>
      <c r="AD576" s="87"/>
      <c r="AE576" s="83"/>
    </row>
    <row r="577" spans="1:31" ht="65.25" thickBot="1">
      <c r="A577" s="84">
        <v>13</v>
      </c>
      <c r="B577" s="23" t="s">
        <v>7</v>
      </c>
      <c r="C577" s="84"/>
      <c r="D577" s="85"/>
      <c r="E577" s="85"/>
      <c r="F577" s="85"/>
      <c r="G577" s="85"/>
      <c r="H577" s="86"/>
      <c r="I577" s="86"/>
      <c r="J577" s="86"/>
      <c r="K577" s="86"/>
      <c r="L577" s="86"/>
      <c r="M577" s="86"/>
      <c r="N577" s="86"/>
      <c r="O577" s="87"/>
      <c r="P577" s="84">
        <v>12</v>
      </c>
      <c r="Q577" s="87"/>
      <c r="R577" s="84"/>
      <c r="S577" s="87"/>
      <c r="T577" s="84"/>
      <c r="U577" s="84"/>
      <c r="V577" s="87"/>
      <c r="W577" s="84"/>
      <c r="X577" s="87"/>
      <c r="Y577" s="84"/>
      <c r="Z577" s="84"/>
      <c r="AA577" s="87"/>
      <c r="AB577" s="84">
        <v>0.58</v>
      </c>
      <c r="AC577" s="84"/>
      <c r="AD577" s="87"/>
      <c r="AE577" s="83"/>
    </row>
    <row r="578" spans="1:31" ht="129.75" thickBot="1">
      <c r="A578" s="83">
        <v>69</v>
      </c>
      <c r="B578" s="22" t="s">
        <v>106</v>
      </c>
      <c r="C578" s="84"/>
      <c r="D578" s="86"/>
      <c r="E578" s="86"/>
      <c r="F578" s="86"/>
      <c r="G578" s="86"/>
      <c r="H578" s="86"/>
      <c r="I578" s="86"/>
      <c r="J578" s="86"/>
      <c r="K578" s="86"/>
      <c r="L578" s="86"/>
      <c r="M578" s="86">
        <v>85</v>
      </c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7"/>
      <c r="AE578" s="84"/>
    </row>
    <row r="579" spans="1:31" ht="65.25" thickBot="1">
      <c r="A579" s="83"/>
      <c r="B579" s="22" t="s">
        <v>29</v>
      </c>
      <c r="C579" s="84">
        <f aca="true" t="shared" si="101" ref="C579:AE579">SUM(C574:C578)</f>
        <v>25</v>
      </c>
      <c r="D579" s="84">
        <f t="shared" si="101"/>
        <v>0</v>
      </c>
      <c r="E579" s="84">
        <f t="shared" si="101"/>
        <v>0</v>
      </c>
      <c r="F579" s="84">
        <f t="shared" si="101"/>
        <v>0</v>
      </c>
      <c r="G579" s="84">
        <f t="shared" si="101"/>
        <v>0</v>
      </c>
      <c r="H579" s="84">
        <f t="shared" si="101"/>
        <v>0</v>
      </c>
      <c r="I579" s="84">
        <f t="shared" si="101"/>
        <v>0</v>
      </c>
      <c r="J579" s="84">
        <f t="shared" si="101"/>
        <v>63</v>
      </c>
      <c r="K579" s="84">
        <f t="shared" si="101"/>
        <v>0</v>
      </c>
      <c r="L579" s="84">
        <f t="shared" si="101"/>
        <v>0</v>
      </c>
      <c r="M579" s="84">
        <f t="shared" si="101"/>
        <v>85</v>
      </c>
      <c r="N579" s="84">
        <f t="shared" si="101"/>
        <v>0</v>
      </c>
      <c r="O579" s="84">
        <f t="shared" si="101"/>
        <v>0</v>
      </c>
      <c r="P579" s="84">
        <f t="shared" si="101"/>
        <v>12</v>
      </c>
      <c r="Q579" s="84">
        <f t="shared" si="101"/>
        <v>3</v>
      </c>
      <c r="R579" s="84">
        <f t="shared" si="101"/>
        <v>0</v>
      </c>
      <c r="S579" s="84">
        <f t="shared" si="101"/>
        <v>80</v>
      </c>
      <c r="T579" s="84">
        <f t="shared" si="101"/>
        <v>73</v>
      </c>
      <c r="U579" s="84">
        <f t="shared" si="101"/>
        <v>0</v>
      </c>
      <c r="V579" s="84">
        <f t="shared" si="101"/>
        <v>0</v>
      </c>
      <c r="W579" s="84">
        <f t="shared" si="101"/>
        <v>0</v>
      </c>
      <c r="X579" s="84">
        <f t="shared" si="101"/>
        <v>0</v>
      </c>
      <c r="Y579" s="84">
        <f t="shared" si="101"/>
        <v>0</v>
      </c>
      <c r="Z579" s="84">
        <f t="shared" si="101"/>
        <v>0</v>
      </c>
      <c r="AA579" s="84">
        <f t="shared" si="101"/>
        <v>0</v>
      </c>
      <c r="AB579" s="84">
        <f t="shared" si="101"/>
        <v>0.58</v>
      </c>
      <c r="AC579" s="84">
        <f t="shared" si="101"/>
        <v>0</v>
      </c>
      <c r="AD579" s="84">
        <f t="shared" si="101"/>
        <v>0</v>
      </c>
      <c r="AE579" s="84">
        <f t="shared" si="101"/>
        <v>0</v>
      </c>
    </row>
    <row r="580" spans="1:31" ht="194.25" thickBot="1">
      <c r="A580" s="145"/>
      <c r="B580" s="22" t="s">
        <v>150</v>
      </c>
      <c r="C580" s="84"/>
      <c r="D580" s="84"/>
      <c r="E580" s="84"/>
      <c r="F580" s="84"/>
      <c r="G580" s="84"/>
      <c r="H580" s="84"/>
      <c r="I580" s="84"/>
      <c r="J580" s="84"/>
      <c r="K580" s="84"/>
      <c r="L580" s="84"/>
      <c r="M580" s="84"/>
      <c r="N580" s="84"/>
      <c r="O580" s="84"/>
      <c r="P580" s="84"/>
      <c r="Q580" s="84"/>
      <c r="R580" s="84"/>
      <c r="S580" s="84"/>
      <c r="T580" s="84"/>
      <c r="U580" s="84"/>
      <c r="V580" s="84"/>
      <c r="W580" s="84"/>
      <c r="X580" s="84"/>
      <c r="Y580" s="84"/>
      <c r="Z580" s="84"/>
      <c r="AA580" s="84"/>
      <c r="AB580" s="84"/>
      <c r="AC580" s="84"/>
      <c r="AD580" s="88"/>
      <c r="AE580" s="84"/>
    </row>
    <row r="581" spans="1:31" ht="65.25" thickBot="1">
      <c r="A581" s="83"/>
      <c r="B581" s="93" t="s">
        <v>10</v>
      </c>
      <c r="C581" s="84">
        <f aca="true" t="shared" si="102" ref="C581:AE581">C556+C559+C568+C572+C579</f>
        <v>99</v>
      </c>
      <c r="D581" s="84">
        <f t="shared" si="102"/>
        <v>50</v>
      </c>
      <c r="E581" s="84">
        <f t="shared" si="102"/>
        <v>46</v>
      </c>
      <c r="F581" s="84">
        <f t="shared" si="102"/>
        <v>0</v>
      </c>
      <c r="G581" s="84">
        <f t="shared" si="102"/>
        <v>18</v>
      </c>
      <c r="H581" s="84">
        <f t="shared" si="102"/>
        <v>0</v>
      </c>
      <c r="I581" s="84">
        <f t="shared" si="102"/>
        <v>180</v>
      </c>
      <c r="J581" s="84">
        <f t="shared" si="102"/>
        <v>144.9</v>
      </c>
      <c r="K581" s="84">
        <f t="shared" si="102"/>
        <v>150</v>
      </c>
      <c r="L581" s="84">
        <f t="shared" si="102"/>
        <v>0</v>
      </c>
      <c r="M581" s="84">
        <f t="shared" si="102"/>
        <v>85</v>
      </c>
      <c r="N581" s="84">
        <f t="shared" si="102"/>
        <v>18</v>
      </c>
      <c r="O581" s="84">
        <f t="shared" si="102"/>
        <v>0</v>
      </c>
      <c r="P581" s="84">
        <f t="shared" si="102"/>
        <v>45</v>
      </c>
      <c r="Q581" s="84">
        <f t="shared" si="102"/>
        <v>22.5</v>
      </c>
      <c r="R581" s="84">
        <f t="shared" si="102"/>
        <v>13</v>
      </c>
      <c r="S581" s="84">
        <f t="shared" si="102"/>
        <v>101</v>
      </c>
      <c r="T581" s="84">
        <f t="shared" si="102"/>
        <v>537</v>
      </c>
      <c r="U581" s="84">
        <f t="shared" si="102"/>
        <v>0</v>
      </c>
      <c r="V581" s="84">
        <f t="shared" si="102"/>
        <v>0</v>
      </c>
      <c r="W581" s="84">
        <f t="shared" si="102"/>
        <v>32</v>
      </c>
      <c r="X581" s="84">
        <f t="shared" si="102"/>
        <v>0</v>
      </c>
      <c r="Y581" s="84">
        <f t="shared" si="102"/>
        <v>66</v>
      </c>
      <c r="Z581" s="84">
        <f t="shared" si="102"/>
        <v>0</v>
      </c>
      <c r="AA581" s="84">
        <f t="shared" si="102"/>
        <v>19</v>
      </c>
      <c r="AB581" s="84">
        <f t="shared" si="102"/>
        <v>0.58</v>
      </c>
      <c r="AC581" s="84">
        <f t="shared" si="102"/>
        <v>0</v>
      </c>
      <c r="AD581" s="84">
        <f t="shared" si="102"/>
        <v>1.3</v>
      </c>
      <c r="AE581" s="84">
        <f t="shared" si="102"/>
        <v>1.5</v>
      </c>
    </row>
    <row r="582" spans="1:31" ht="89.25" customHeight="1" thickBot="1">
      <c r="A582" s="150" t="s">
        <v>40</v>
      </c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/>
      <c r="AC582" s="151"/>
      <c r="AD582" s="151"/>
      <c r="AE582" s="152"/>
    </row>
    <row r="583" spans="1:31" ht="65.25" thickBot="1">
      <c r="A583" s="150" t="s">
        <v>94</v>
      </c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/>
      <c r="AC583" s="151"/>
      <c r="AD583" s="151"/>
      <c r="AE583" s="152"/>
    </row>
    <row r="584" spans="1:31" ht="46.5" customHeight="1">
      <c r="A584" s="166" t="s">
        <v>30</v>
      </c>
      <c r="B584" s="168" t="s">
        <v>23</v>
      </c>
      <c r="C584" s="153" t="s">
        <v>116</v>
      </c>
      <c r="D584" s="153" t="s">
        <v>117</v>
      </c>
      <c r="E584" s="153" t="s">
        <v>130</v>
      </c>
      <c r="F584" s="153" t="s">
        <v>119</v>
      </c>
      <c r="G584" s="153" t="s">
        <v>131</v>
      </c>
      <c r="H584" s="153" t="s">
        <v>132</v>
      </c>
      <c r="I584" s="153" t="s">
        <v>110</v>
      </c>
      <c r="J584" s="153" t="s">
        <v>257</v>
      </c>
      <c r="K584" s="140"/>
      <c r="L584" s="140"/>
      <c r="M584" s="153" t="s">
        <v>142</v>
      </c>
      <c r="N584" s="153" t="s">
        <v>79</v>
      </c>
      <c r="O584" s="153" t="s">
        <v>139</v>
      </c>
      <c r="P584" s="153" t="s">
        <v>80</v>
      </c>
      <c r="Q584" s="153" t="s">
        <v>124</v>
      </c>
      <c r="R584" s="153" t="s">
        <v>81</v>
      </c>
      <c r="S584" s="153" t="s">
        <v>134</v>
      </c>
      <c r="T584" s="153" t="s">
        <v>135</v>
      </c>
      <c r="U584" s="153" t="s">
        <v>136</v>
      </c>
      <c r="V584" s="140"/>
      <c r="W584" s="153" t="s">
        <v>113</v>
      </c>
      <c r="X584" s="153" t="s">
        <v>129</v>
      </c>
      <c r="Y584" s="153" t="s">
        <v>84</v>
      </c>
      <c r="Z584" s="153" t="s">
        <v>82</v>
      </c>
      <c r="AA584" s="153" t="s">
        <v>83</v>
      </c>
      <c r="AB584" s="153" t="s">
        <v>85</v>
      </c>
      <c r="AC584" s="140"/>
      <c r="AD584" s="158" t="s">
        <v>78</v>
      </c>
      <c r="AE584" s="153" t="s">
        <v>137</v>
      </c>
    </row>
    <row r="585" spans="1:31" ht="409.5" thickBot="1">
      <c r="A585" s="167"/>
      <c r="B585" s="169"/>
      <c r="C585" s="154"/>
      <c r="D585" s="154"/>
      <c r="E585" s="154"/>
      <c r="F585" s="154"/>
      <c r="G585" s="154"/>
      <c r="H585" s="154"/>
      <c r="I585" s="154"/>
      <c r="J585" s="154"/>
      <c r="K585" s="141" t="s">
        <v>133</v>
      </c>
      <c r="L585" s="141" t="s">
        <v>143</v>
      </c>
      <c r="M585" s="154"/>
      <c r="N585" s="154"/>
      <c r="O585" s="154"/>
      <c r="P585" s="154"/>
      <c r="Q585" s="154"/>
      <c r="R585" s="154"/>
      <c r="S585" s="154"/>
      <c r="T585" s="154"/>
      <c r="U585" s="154"/>
      <c r="V585" s="141" t="s">
        <v>140</v>
      </c>
      <c r="W585" s="154"/>
      <c r="X585" s="154"/>
      <c r="Y585" s="154"/>
      <c r="Z585" s="154"/>
      <c r="AA585" s="154"/>
      <c r="AB585" s="154"/>
      <c r="AC585" s="141" t="s">
        <v>77</v>
      </c>
      <c r="AD585" s="159"/>
      <c r="AE585" s="154"/>
    </row>
    <row r="586" spans="1:31" ht="65.25" thickBot="1">
      <c r="A586" s="145">
        <v>1</v>
      </c>
      <c r="B586" s="79">
        <v>2</v>
      </c>
      <c r="C586" s="80" t="s">
        <v>54</v>
      </c>
      <c r="D586" s="81">
        <v>4</v>
      </c>
      <c r="E586" s="80">
        <v>5</v>
      </c>
      <c r="F586" s="80">
        <v>6</v>
      </c>
      <c r="G586" s="80">
        <v>7</v>
      </c>
      <c r="H586" s="80">
        <v>8</v>
      </c>
      <c r="I586" s="80" t="s">
        <v>55</v>
      </c>
      <c r="J586" s="81">
        <v>10</v>
      </c>
      <c r="K586" s="80">
        <v>11</v>
      </c>
      <c r="L586" s="108">
        <v>12</v>
      </c>
      <c r="M586" s="80">
        <v>13</v>
      </c>
      <c r="N586" s="80">
        <v>14</v>
      </c>
      <c r="O586" s="80">
        <v>15</v>
      </c>
      <c r="P586" s="80">
        <v>16</v>
      </c>
      <c r="Q586" s="143">
        <v>17</v>
      </c>
      <c r="R586" s="80">
        <v>18</v>
      </c>
      <c r="S586" s="143">
        <v>19</v>
      </c>
      <c r="T586" s="80">
        <v>20</v>
      </c>
      <c r="U586" s="143">
        <v>21</v>
      </c>
      <c r="V586" s="143">
        <v>22</v>
      </c>
      <c r="W586" s="80">
        <v>23</v>
      </c>
      <c r="X586" s="80">
        <v>24</v>
      </c>
      <c r="Y586" s="143">
        <v>25</v>
      </c>
      <c r="Z586" s="80">
        <v>26</v>
      </c>
      <c r="AA586" s="80">
        <v>27</v>
      </c>
      <c r="AB586" s="80">
        <v>28</v>
      </c>
      <c r="AC586" s="143">
        <v>29</v>
      </c>
      <c r="AD586" s="142">
        <v>30</v>
      </c>
      <c r="AE586" s="80">
        <v>32</v>
      </c>
    </row>
    <row r="587" spans="1:31" ht="65.25" thickBot="1">
      <c r="A587" s="150" t="s">
        <v>5</v>
      </c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/>
      <c r="AC587" s="151"/>
      <c r="AD587" s="151"/>
      <c r="AE587" s="152"/>
    </row>
    <row r="588" spans="1:31" ht="65.25" thickBot="1">
      <c r="A588" s="83">
        <v>14</v>
      </c>
      <c r="B588" s="25" t="s">
        <v>176</v>
      </c>
      <c r="C588" s="84"/>
      <c r="D588" s="86"/>
      <c r="E588" s="86"/>
      <c r="F588" s="86"/>
      <c r="G588" s="84">
        <v>28</v>
      </c>
      <c r="H588" s="86"/>
      <c r="I588" s="86"/>
      <c r="J588" s="120"/>
      <c r="K588" s="120"/>
      <c r="L588" s="120"/>
      <c r="M588" s="120"/>
      <c r="N588" s="86"/>
      <c r="O588" s="84"/>
      <c r="P588" s="87">
        <v>5</v>
      </c>
      <c r="Q588" s="84">
        <v>2</v>
      </c>
      <c r="R588" s="87"/>
      <c r="S588" s="84"/>
      <c r="T588" s="87">
        <v>136</v>
      </c>
      <c r="U588" s="84"/>
      <c r="V588" s="87"/>
      <c r="W588" s="84"/>
      <c r="X588" s="87"/>
      <c r="Y588" s="84"/>
      <c r="Z588" s="87"/>
      <c r="AA588" s="84"/>
      <c r="AB588" s="87"/>
      <c r="AC588" s="84"/>
      <c r="AD588" s="88"/>
      <c r="AE588" s="83"/>
    </row>
    <row r="589" spans="1:31" ht="129.75" thickBot="1">
      <c r="A589" s="83">
        <v>2</v>
      </c>
      <c r="B589" s="22" t="s">
        <v>69</v>
      </c>
      <c r="C589" s="84"/>
      <c r="D589" s="86"/>
      <c r="E589" s="86"/>
      <c r="F589" s="86"/>
      <c r="G589" s="86"/>
      <c r="H589" s="86"/>
      <c r="I589" s="86"/>
      <c r="J589" s="86"/>
      <c r="K589" s="86"/>
      <c r="L589" s="86"/>
      <c r="M589" s="86"/>
      <c r="N589" s="86"/>
      <c r="O589" s="83"/>
      <c r="P589" s="84">
        <v>11</v>
      </c>
      <c r="Q589" s="83"/>
      <c r="R589" s="87"/>
      <c r="S589" s="83"/>
      <c r="T589" s="84">
        <v>100</v>
      </c>
      <c r="U589" s="83"/>
      <c r="V589" s="87"/>
      <c r="W589" s="83"/>
      <c r="X589" s="87"/>
      <c r="Y589" s="83"/>
      <c r="Z589" s="87"/>
      <c r="AA589" s="83"/>
      <c r="AB589" s="87"/>
      <c r="AC589" s="83">
        <v>2.4</v>
      </c>
      <c r="AD589" s="90"/>
      <c r="AE589" s="84"/>
    </row>
    <row r="590" spans="1:31" ht="129.75" thickBot="1">
      <c r="A590" s="83" t="s">
        <v>32</v>
      </c>
      <c r="B590" s="22" t="s">
        <v>250</v>
      </c>
      <c r="C590" s="86"/>
      <c r="D590" s="85"/>
      <c r="E590" s="85"/>
      <c r="F590" s="85"/>
      <c r="G590" s="85"/>
      <c r="H590" s="86"/>
      <c r="I590" s="86"/>
      <c r="J590" s="86"/>
      <c r="K590" s="86"/>
      <c r="L590" s="86"/>
      <c r="M590" s="86"/>
      <c r="N590" s="87"/>
      <c r="O590" s="84">
        <v>25</v>
      </c>
      <c r="P590" s="87"/>
      <c r="Q590" s="84"/>
      <c r="R590" s="87"/>
      <c r="S590" s="84"/>
      <c r="T590" s="87"/>
      <c r="U590" s="84"/>
      <c r="V590" s="87"/>
      <c r="W590" s="84"/>
      <c r="X590" s="84"/>
      <c r="Y590" s="84"/>
      <c r="Z590" s="87"/>
      <c r="AA590" s="83"/>
      <c r="AB590" s="84"/>
      <c r="AC590" s="87"/>
      <c r="AD590" s="84"/>
      <c r="AE590" s="84"/>
    </row>
    <row r="591" spans="1:31" ht="129.75" thickBot="1">
      <c r="A591" s="83">
        <v>3</v>
      </c>
      <c r="B591" s="22" t="s">
        <v>38</v>
      </c>
      <c r="C591" s="86">
        <v>25</v>
      </c>
      <c r="D591" s="86"/>
      <c r="E591" s="86"/>
      <c r="F591" s="86"/>
      <c r="G591" s="86"/>
      <c r="H591" s="86"/>
      <c r="I591" s="86"/>
      <c r="J591" s="86"/>
      <c r="K591" s="86"/>
      <c r="L591" s="86"/>
      <c r="M591" s="86"/>
      <c r="N591" s="86"/>
      <c r="O591" s="83"/>
      <c r="P591" s="87"/>
      <c r="Q591" s="84">
        <v>5</v>
      </c>
      <c r="R591" s="87"/>
      <c r="S591" s="83"/>
      <c r="T591" s="87"/>
      <c r="U591" s="90"/>
      <c r="V591" s="83"/>
      <c r="W591" s="84"/>
      <c r="X591" s="87"/>
      <c r="Y591" s="83"/>
      <c r="Z591" s="87"/>
      <c r="AA591" s="83">
        <v>13</v>
      </c>
      <c r="AB591" s="87"/>
      <c r="AC591" s="83"/>
      <c r="AD591" s="87"/>
      <c r="AE591" s="83"/>
    </row>
    <row r="592" spans="1:31" ht="65.25" thickBot="1">
      <c r="A592" s="83"/>
      <c r="B592" s="22" t="s">
        <v>6</v>
      </c>
      <c r="C592" s="83">
        <f aca="true" t="shared" si="103" ref="C592:AE592">SUM(C588:C591)</f>
        <v>25</v>
      </c>
      <c r="D592" s="83">
        <f t="shared" si="103"/>
        <v>0</v>
      </c>
      <c r="E592" s="83">
        <f t="shared" si="103"/>
        <v>0</v>
      </c>
      <c r="F592" s="83">
        <f t="shared" si="103"/>
        <v>0</v>
      </c>
      <c r="G592" s="83">
        <f t="shared" si="103"/>
        <v>28</v>
      </c>
      <c r="H592" s="83">
        <f t="shared" si="103"/>
        <v>0</v>
      </c>
      <c r="I592" s="83">
        <f t="shared" si="103"/>
        <v>0</v>
      </c>
      <c r="J592" s="83">
        <f t="shared" si="103"/>
        <v>0</v>
      </c>
      <c r="K592" s="83">
        <f t="shared" si="103"/>
        <v>0</v>
      </c>
      <c r="L592" s="83">
        <f t="shared" si="103"/>
        <v>0</v>
      </c>
      <c r="M592" s="83">
        <f t="shared" si="103"/>
        <v>0</v>
      </c>
      <c r="N592" s="83">
        <f t="shared" si="103"/>
        <v>0</v>
      </c>
      <c r="O592" s="83">
        <f t="shared" si="103"/>
        <v>25</v>
      </c>
      <c r="P592" s="83">
        <f t="shared" si="103"/>
        <v>16</v>
      </c>
      <c r="Q592" s="83">
        <f t="shared" si="103"/>
        <v>7</v>
      </c>
      <c r="R592" s="83">
        <f t="shared" si="103"/>
        <v>0</v>
      </c>
      <c r="S592" s="83">
        <f t="shared" si="103"/>
        <v>0</v>
      </c>
      <c r="T592" s="83">
        <f t="shared" si="103"/>
        <v>236</v>
      </c>
      <c r="U592" s="83">
        <f t="shared" si="103"/>
        <v>0</v>
      </c>
      <c r="V592" s="83">
        <f t="shared" si="103"/>
        <v>0</v>
      </c>
      <c r="W592" s="83">
        <f t="shared" si="103"/>
        <v>0</v>
      </c>
      <c r="X592" s="83">
        <f t="shared" si="103"/>
        <v>0</v>
      </c>
      <c r="Y592" s="83">
        <f t="shared" si="103"/>
        <v>0</v>
      </c>
      <c r="Z592" s="83">
        <f t="shared" si="103"/>
        <v>0</v>
      </c>
      <c r="AA592" s="83">
        <f t="shared" si="103"/>
        <v>13</v>
      </c>
      <c r="AB592" s="83">
        <f t="shared" si="103"/>
        <v>0</v>
      </c>
      <c r="AC592" s="83">
        <f t="shared" si="103"/>
        <v>2.4</v>
      </c>
      <c r="AD592" s="90">
        <f t="shared" si="103"/>
        <v>0</v>
      </c>
      <c r="AE592" s="83">
        <f t="shared" si="103"/>
        <v>0</v>
      </c>
    </row>
    <row r="593" spans="1:31" ht="65.25" thickBot="1">
      <c r="A593" s="155" t="s">
        <v>53</v>
      </c>
      <c r="B593" s="156"/>
      <c r="C593" s="156"/>
      <c r="D593" s="156"/>
      <c r="E593" s="156"/>
      <c r="F593" s="156"/>
      <c r="G593" s="156"/>
      <c r="H593" s="156"/>
      <c r="I593" s="156"/>
      <c r="J593" s="156"/>
      <c r="K593" s="156"/>
      <c r="L593" s="156"/>
      <c r="M593" s="156"/>
      <c r="N593" s="156"/>
      <c r="O593" s="156"/>
      <c r="P593" s="156"/>
      <c r="Q593" s="156"/>
      <c r="R593" s="156"/>
      <c r="S593" s="156"/>
      <c r="T593" s="156"/>
      <c r="U593" s="156"/>
      <c r="V593" s="156"/>
      <c r="W593" s="156"/>
      <c r="X593" s="156"/>
      <c r="Y593" s="156"/>
      <c r="Z593" s="156"/>
      <c r="AA593" s="156"/>
      <c r="AB593" s="156"/>
      <c r="AC593" s="156"/>
      <c r="AD593" s="156"/>
      <c r="AE593" s="157"/>
    </row>
    <row r="594" spans="1:31" ht="65.25" thickBot="1">
      <c r="A594" s="83" t="s">
        <v>32</v>
      </c>
      <c r="B594" s="25" t="s">
        <v>182</v>
      </c>
      <c r="C594" s="84"/>
      <c r="D594" s="86"/>
      <c r="E594" s="86"/>
      <c r="F594" s="86"/>
      <c r="G594" s="86"/>
      <c r="H594" s="86"/>
      <c r="I594" s="86"/>
      <c r="J594" s="86"/>
      <c r="K594" s="86">
        <v>150</v>
      </c>
      <c r="L594" s="86"/>
      <c r="M594" s="86"/>
      <c r="N594" s="86"/>
      <c r="O594" s="87"/>
      <c r="P594" s="84"/>
      <c r="Q594" s="87"/>
      <c r="R594" s="84"/>
      <c r="S594" s="87"/>
      <c r="T594" s="84"/>
      <c r="U594" s="87"/>
      <c r="V594" s="84"/>
      <c r="W594" s="84"/>
      <c r="X594" s="87"/>
      <c r="Y594" s="84"/>
      <c r="Z594" s="84"/>
      <c r="AA594" s="87"/>
      <c r="AB594" s="84"/>
      <c r="AC594" s="87"/>
      <c r="AD594" s="88"/>
      <c r="AE594" s="83"/>
    </row>
    <row r="595" spans="1:31" ht="65.25" thickBot="1">
      <c r="A595" s="83"/>
      <c r="B595" s="22" t="s">
        <v>29</v>
      </c>
      <c r="C595" s="86">
        <f>SUM(C594)</f>
        <v>0</v>
      </c>
      <c r="D595" s="86">
        <f>SUM(D594)</f>
        <v>0</v>
      </c>
      <c r="E595" s="86">
        <f aca="true" t="shared" si="104" ref="E595:AD595">SUM(E594)</f>
        <v>0</v>
      </c>
      <c r="F595" s="86">
        <f t="shared" si="104"/>
        <v>0</v>
      </c>
      <c r="G595" s="86">
        <f t="shared" si="104"/>
        <v>0</v>
      </c>
      <c r="H595" s="86">
        <f t="shared" si="104"/>
        <v>0</v>
      </c>
      <c r="I595" s="86">
        <f t="shared" si="104"/>
        <v>0</v>
      </c>
      <c r="J595" s="86">
        <f t="shared" si="104"/>
        <v>0</v>
      </c>
      <c r="K595" s="86">
        <f t="shared" si="104"/>
        <v>150</v>
      </c>
      <c r="L595" s="86">
        <f t="shared" si="104"/>
        <v>0</v>
      </c>
      <c r="M595" s="86">
        <f t="shared" si="104"/>
        <v>0</v>
      </c>
      <c r="N595" s="86">
        <f t="shared" si="104"/>
        <v>0</v>
      </c>
      <c r="O595" s="86">
        <f t="shared" si="104"/>
        <v>0</v>
      </c>
      <c r="P595" s="86">
        <f t="shared" si="104"/>
        <v>0</v>
      </c>
      <c r="Q595" s="86">
        <f t="shared" si="104"/>
        <v>0</v>
      </c>
      <c r="R595" s="86">
        <f t="shared" si="104"/>
        <v>0</v>
      </c>
      <c r="S595" s="86">
        <f t="shared" si="104"/>
        <v>0</v>
      </c>
      <c r="T595" s="86">
        <f t="shared" si="104"/>
        <v>0</v>
      </c>
      <c r="U595" s="86">
        <f t="shared" si="104"/>
        <v>0</v>
      </c>
      <c r="V595" s="86">
        <f t="shared" si="104"/>
        <v>0</v>
      </c>
      <c r="W595" s="86">
        <f t="shared" si="104"/>
        <v>0</v>
      </c>
      <c r="X595" s="86">
        <f t="shared" si="104"/>
        <v>0</v>
      </c>
      <c r="Y595" s="86">
        <f t="shared" si="104"/>
        <v>0</v>
      </c>
      <c r="Z595" s="86">
        <f t="shared" si="104"/>
        <v>0</v>
      </c>
      <c r="AA595" s="86">
        <f t="shared" si="104"/>
        <v>0</v>
      </c>
      <c r="AB595" s="86">
        <f t="shared" si="104"/>
        <v>0</v>
      </c>
      <c r="AC595" s="86">
        <f t="shared" si="104"/>
        <v>0</v>
      </c>
      <c r="AD595" s="87">
        <f t="shared" si="104"/>
        <v>0</v>
      </c>
      <c r="AE595" s="83">
        <f>SUM(AE594)</f>
        <v>0</v>
      </c>
    </row>
    <row r="596" spans="1:31" ht="65.25" thickBot="1">
      <c r="A596" s="155" t="s">
        <v>31</v>
      </c>
      <c r="B596" s="156"/>
      <c r="C596" s="156"/>
      <c r="D596" s="156"/>
      <c r="E596" s="156"/>
      <c r="F596" s="156"/>
      <c r="G596" s="156"/>
      <c r="H596" s="156"/>
      <c r="I596" s="156"/>
      <c r="J596" s="156"/>
      <c r="K596" s="156"/>
      <c r="L596" s="156"/>
      <c r="M596" s="156"/>
      <c r="N596" s="156"/>
      <c r="O596" s="156"/>
      <c r="P596" s="156"/>
      <c r="Q596" s="156"/>
      <c r="R596" s="156"/>
      <c r="S596" s="156"/>
      <c r="T596" s="156"/>
      <c r="U596" s="156"/>
      <c r="V596" s="156"/>
      <c r="W596" s="156"/>
      <c r="X596" s="156"/>
      <c r="Y596" s="156"/>
      <c r="Z596" s="156"/>
      <c r="AA596" s="156"/>
      <c r="AB596" s="156"/>
      <c r="AC596" s="156"/>
      <c r="AD596" s="156"/>
      <c r="AE596" s="157"/>
    </row>
    <row r="597" spans="1:31" ht="159.75" customHeight="1" thickBot="1">
      <c r="A597" s="84">
        <v>38</v>
      </c>
      <c r="B597" s="22" t="s">
        <v>268</v>
      </c>
      <c r="C597" s="84"/>
      <c r="D597" s="86"/>
      <c r="E597" s="86"/>
      <c r="F597" s="86"/>
      <c r="G597" s="86"/>
      <c r="H597" s="86"/>
      <c r="I597" s="86"/>
      <c r="J597" s="86">
        <v>40</v>
      </c>
      <c r="K597" s="86"/>
      <c r="L597" s="86"/>
      <c r="M597" s="86"/>
      <c r="N597" s="87"/>
      <c r="O597" s="83"/>
      <c r="P597" s="87"/>
      <c r="Q597" s="83"/>
      <c r="R597" s="87"/>
      <c r="S597" s="83"/>
      <c r="T597" s="87"/>
      <c r="U597" s="84"/>
      <c r="V597" s="83"/>
      <c r="W597" s="87"/>
      <c r="X597" s="84"/>
      <c r="Y597" s="83"/>
      <c r="Z597" s="87"/>
      <c r="AA597" s="83"/>
      <c r="AB597" s="84"/>
      <c r="AC597" s="88"/>
      <c r="AD597" s="80"/>
      <c r="AE597" s="83"/>
    </row>
    <row r="598" spans="1:31" ht="194.25" thickBot="1">
      <c r="A598" s="83">
        <v>34</v>
      </c>
      <c r="B598" s="22" t="s">
        <v>177</v>
      </c>
      <c r="C598" s="84"/>
      <c r="D598" s="86"/>
      <c r="E598" s="86"/>
      <c r="F598" s="86"/>
      <c r="G598" s="86"/>
      <c r="H598" s="86"/>
      <c r="I598" s="86">
        <v>24</v>
      </c>
      <c r="J598" s="86">
        <v>63</v>
      </c>
      <c r="K598" s="86"/>
      <c r="L598" s="86"/>
      <c r="M598" s="86"/>
      <c r="N598" s="86"/>
      <c r="O598" s="87"/>
      <c r="P598" s="83"/>
      <c r="Q598" s="87">
        <v>3</v>
      </c>
      <c r="R598" s="83"/>
      <c r="S598" s="87"/>
      <c r="T598" s="83"/>
      <c r="U598" s="83"/>
      <c r="V598" s="87"/>
      <c r="W598" s="83">
        <v>13</v>
      </c>
      <c r="X598" s="87"/>
      <c r="Y598" s="84"/>
      <c r="Z598" s="84">
        <v>8</v>
      </c>
      <c r="AA598" s="87"/>
      <c r="AB598" s="83"/>
      <c r="AC598" s="87"/>
      <c r="AD598" s="90"/>
      <c r="AE598" s="83"/>
    </row>
    <row r="599" spans="1:31" ht="129.75" thickBot="1">
      <c r="A599" s="84">
        <v>33</v>
      </c>
      <c r="B599" s="22" t="s">
        <v>245</v>
      </c>
      <c r="C599" s="83">
        <v>13</v>
      </c>
      <c r="D599" s="86"/>
      <c r="E599" s="86"/>
      <c r="F599" s="86"/>
      <c r="G599" s="86"/>
      <c r="H599" s="86"/>
      <c r="I599" s="86"/>
      <c r="J599" s="86">
        <v>5</v>
      </c>
      <c r="K599" s="86"/>
      <c r="L599" s="86"/>
      <c r="M599" s="86"/>
      <c r="N599" s="86"/>
      <c r="O599" s="86"/>
      <c r="P599" s="86"/>
      <c r="Q599" s="86">
        <v>5</v>
      </c>
      <c r="R599" s="86"/>
      <c r="S599" s="86">
        <v>5</v>
      </c>
      <c r="T599" s="86">
        <v>18</v>
      </c>
      <c r="U599" s="86"/>
      <c r="V599" s="86"/>
      <c r="W599" s="86"/>
      <c r="X599" s="86">
        <v>128</v>
      </c>
      <c r="Y599" s="86"/>
      <c r="Z599" s="86"/>
      <c r="AA599" s="86"/>
      <c r="AB599" s="86"/>
      <c r="AC599" s="86"/>
      <c r="AD599" s="87"/>
      <c r="AE599" s="83"/>
    </row>
    <row r="600" spans="1:31" ht="65.25" thickBot="1">
      <c r="A600" s="94">
        <v>7</v>
      </c>
      <c r="B600" s="75" t="s">
        <v>66</v>
      </c>
      <c r="C600" s="95"/>
      <c r="D600" s="96"/>
      <c r="E600" s="96">
        <v>2.8</v>
      </c>
      <c r="F600" s="96"/>
      <c r="G600" s="96"/>
      <c r="H600" s="96"/>
      <c r="I600" s="96"/>
      <c r="J600" s="96">
        <v>12</v>
      </c>
      <c r="K600" s="96"/>
      <c r="L600" s="96"/>
      <c r="M600" s="96"/>
      <c r="N600" s="96"/>
      <c r="O600" s="96"/>
      <c r="P600" s="97"/>
      <c r="Q600" s="95">
        <v>1.6</v>
      </c>
      <c r="R600" s="95"/>
      <c r="S600" s="96"/>
      <c r="T600" s="97"/>
      <c r="U600" s="95"/>
      <c r="V600" s="97"/>
      <c r="W600" s="95"/>
      <c r="X600" s="97"/>
      <c r="Y600" s="94"/>
      <c r="Z600" s="97"/>
      <c r="AA600" s="95"/>
      <c r="AB600" s="96"/>
      <c r="AC600" s="97"/>
      <c r="AD600" s="95"/>
      <c r="AE600" s="94"/>
    </row>
    <row r="601" spans="1:31" ht="65.25" thickBot="1">
      <c r="A601" s="83">
        <v>65</v>
      </c>
      <c r="B601" s="22" t="s">
        <v>231</v>
      </c>
      <c r="C601" s="84"/>
      <c r="D601" s="86"/>
      <c r="E601" s="86"/>
      <c r="F601" s="86"/>
      <c r="G601" s="86">
        <v>52</v>
      </c>
      <c r="H601" s="86"/>
      <c r="I601" s="86"/>
      <c r="J601" s="86"/>
      <c r="K601" s="86"/>
      <c r="L601" s="86"/>
      <c r="M601" s="86"/>
      <c r="N601" s="86"/>
      <c r="O601" s="87"/>
      <c r="P601" s="83"/>
      <c r="Q601" s="87">
        <v>4</v>
      </c>
      <c r="R601" s="83"/>
      <c r="S601" s="87"/>
      <c r="T601" s="83"/>
      <c r="U601" s="87"/>
      <c r="V601" s="84"/>
      <c r="W601" s="83"/>
      <c r="X601" s="87"/>
      <c r="Y601" s="84"/>
      <c r="Z601" s="83"/>
      <c r="AA601" s="87"/>
      <c r="AB601" s="83"/>
      <c r="AC601" s="87"/>
      <c r="AD601" s="88"/>
      <c r="AE601" s="80"/>
    </row>
    <row r="602" spans="1:31" ht="65.25" thickBot="1">
      <c r="A602" s="99">
        <v>66</v>
      </c>
      <c r="B602" s="27" t="s">
        <v>146</v>
      </c>
      <c r="C602" s="83"/>
      <c r="D602" s="86"/>
      <c r="E602" s="83"/>
      <c r="F602" s="83"/>
      <c r="G602" s="83"/>
      <c r="H602" s="86"/>
      <c r="I602" s="86"/>
      <c r="J602" s="86"/>
      <c r="K602" s="86"/>
      <c r="L602" s="86"/>
      <c r="M602" s="86"/>
      <c r="N602" s="86">
        <v>20</v>
      </c>
      <c r="O602" s="87"/>
      <c r="P602" s="84">
        <v>13</v>
      </c>
      <c r="Q602" s="87"/>
      <c r="R602" s="84"/>
      <c r="S602" s="87"/>
      <c r="T602" s="84"/>
      <c r="U602" s="87"/>
      <c r="V602" s="84"/>
      <c r="W602" s="84"/>
      <c r="X602" s="87"/>
      <c r="Y602" s="84"/>
      <c r="Z602" s="84"/>
      <c r="AA602" s="87"/>
      <c r="AB602" s="84"/>
      <c r="AC602" s="87"/>
      <c r="AD602" s="88"/>
      <c r="AE602" s="83"/>
    </row>
    <row r="603" spans="1:31" ht="129.75" thickBot="1">
      <c r="A603" s="83" t="s">
        <v>32</v>
      </c>
      <c r="B603" s="22" t="s">
        <v>56</v>
      </c>
      <c r="C603" s="84">
        <v>25</v>
      </c>
      <c r="D603" s="86"/>
      <c r="E603" s="86"/>
      <c r="F603" s="86"/>
      <c r="G603" s="86"/>
      <c r="H603" s="86"/>
      <c r="I603" s="86"/>
      <c r="J603" s="86"/>
      <c r="K603" s="86"/>
      <c r="L603" s="86"/>
      <c r="M603" s="86"/>
      <c r="N603" s="86"/>
      <c r="O603" s="86"/>
      <c r="P603" s="86"/>
      <c r="Q603" s="86"/>
      <c r="R603" s="86"/>
      <c r="S603" s="86"/>
      <c r="T603" s="86"/>
      <c r="U603" s="87"/>
      <c r="V603" s="83"/>
      <c r="W603" s="86"/>
      <c r="X603" s="87"/>
      <c r="Y603" s="83"/>
      <c r="Z603" s="86"/>
      <c r="AA603" s="86"/>
      <c r="AB603" s="86"/>
      <c r="AC603" s="86"/>
      <c r="AD603" s="87"/>
      <c r="AE603" s="83"/>
    </row>
    <row r="604" spans="1:31" ht="129.75" thickBot="1">
      <c r="A604" s="83" t="s">
        <v>32</v>
      </c>
      <c r="B604" s="22" t="s">
        <v>58</v>
      </c>
      <c r="C604" s="84"/>
      <c r="D604" s="86">
        <v>50</v>
      </c>
      <c r="E604" s="86"/>
      <c r="F604" s="86"/>
      <c r="G604" s="86"/>
      <c r="H604" s="86"/>
      <c r="I604" s="85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  <c r="U604" s="85"/>
      <c r="V604" s="85"/>
      <c r="W604" s="85"/>
      <c r="X604" s="85"/>
      <c r="Y604" s="85"/>
      <c r="Z604" s="85"/>
      <c r="AA604" s="85"/>
      <c r="AB604" s="85"/>
      <c r="AC604" s="85"/>
      <c r="AD604" s="91"/>
      <c r="AE604" s="84"/>
    </row>
    <row r="605" spans="1:31" ht="65.25" thickBot="1">
      <c r="A605" s="84"/>
      <c r="B605" s="25" t="s">
        <v>29</v>
      </c>
      <c r="C605" s="84">
        <f aca="true" t="shared" si="105" ref="C605:AE605">SUM(C597:C604)</f>
        <v>38</v>
      </c>
      <c r="D605" s="84">
        <f t="shared" si="105"/>
        <v>50</v>
      </c>
      <c r="E605" s="84">
        <f t="shared" si="105"/>
        <v>2.8</v>
      </c>
      <c r="F605" s="84">
        <f t="shared" si="105"/>
        <v>0</v>
      </c>
      <c r="G605" s="84">
        <f t="shared" si="105"/>
        <v>52</v>
      </c>
      <c r="H605" s="84">
        <f t="shared" si="105"/>
        <v>0</v>
      </c>
      <c r="I605" s="84">
        <f t="shared" si="105"/>
        <v>24</v>
      </c>
      <c r="J605" s="84">
        <f t="shared" si="105"/>
        <v>120</v>
      </c>
      <c r="K605" s="84">
        <f t="shared" si="105"/>
        <v>0</v>
      </c>
      <c r="L605" s="84">
        <f t="shared" si="105"/>
        <v>0</v>
      </c>
      <c r="M605" s="84">
        <f t="shared" si="105"/>
        <v>0</v>
      </c>
      <c r="N605" s="84">
        <f t="shared" si="105"/>
        <v>20</v>
      </c>
      <c r="O605" s="84">
        <f t="shared" si="105"/>
        <v>0</v>
      </c>
      <c r="P605" s="84">
        <f t="shared" si="105"/>
        <v>13</v>
      </c>
      <c r="Q605" s="84">
        <f t="shared" si="105"/>
        <v>13.6</v>
      </c>
      <c r="R605" s="84">
        <f t="shared" si="105"/>
        <v>0</v>
      </c>
      <c r="S605" s="84">
        <f t="shared" si="105"/>
        <v>5</v>
      </c>
      <c r="T605" s="84">
        <f t="shared" si="105"/>
        <v>18</v>
      </c>
      <c r="U605" s="84">
        <f t="shared" si="105"/>
        <v>0</v>
      </c>
      <c r="V605" s="84">
        <f t="shared" si="105"/>
        <v>0</v>
      </c>
      <c r="W605" s="84">
        <f t="shared" si="105"/>
        <v>13</v>
      </c>
      <c r="X605" s="84">
        <f t="shared" si="105"/>
        <v>128</v>
      </c>
      <c r="Y605" s="84">
        <f t="shared" si="105"/>
        <v>0</v>
      </c>
      <c r="Z605" s="84">
        <f t="shared" si="105"/>
        <v>8</v>
      </c>
      <c r="AA605" s="84">
        <f t="shared" si="105"/>
        <v>0</v>
      </c>
      <c r="AB605" s="84">
        <f t="shared" si="105"/>
        <v>0</v>
      </c>
      <c r="AC605" s="84">
        <f t="shared" si="105"/>
        <v>0</v>
      </c>
      <c r="AD605" s="88">
        <f t="shared" si="105"/>
        <v>0</v>
      </c>
      <c r="AE605" s="84">
        <f t="shared" si="105"/>
        <v>0</v>
      </c>
    </row>
    <row r="606" spans="1:31" ht="65.25" thickBot="1">
      <c r="A606" s="150" t="s">
        <v>145</v>
      </c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/>
      <c r="AC606" s="151"/>
      <c r="AD606" s="151"/>
      <c r="AE606" s="152"/>
    </row>
    <row r="607" spans="1:31" ht="129.75" thickBot="1">
      <c r="A607" s="92">
        <v>21.1</v>
      </c>
      <c r="B607" s="27" t="s">
        <v>172</v>
      </c>
      <c r="C607" s="83"/>
      <c r="D607" s="86"/>
      <c r="E607" s="83"/>
      <c r="F607" s="83"/>
      <c r="G607" s="83"/>
      <c r="H607" s="86"/>
      <c r="I607" s="86"/>
      <c r="J607" s="86"/>
      <c r="K607" s="86"/>
      <c r="L607" s="86"/>
      <c r="M607" s="86"/>
      <c r="N607" s="86"/>
      <c r="O607" s="87"/>
      <c r="P607" s="84"/>
      <c r="Q607" s="87"/>
      <c r="R607" s="84"/>
      <c r="S607" s="87"/>
      <c r="T607" s="84">
        <v>185</v>
      </c>
      <c r="U607" s="87"/>
      <c r="V607" s="84"/>
      <c r="W607" s="84"/>
      <c r="X607" s="87"/>
      <c r="Y607" s="84"/>
      <c r="Z607" s="84"/>
      <c r="AA607" s="87"/>
      <c r="AB607" s="84"/>
      <c r="AC607" s="87"/>
      <c r="AD607" s="88"/>
      <c r="AE607" s="83"/>
    </row>
    <row r="608" spans="1:31" ht="129.75" thickBot="1">
      <c r="A608" s="83">
        <v>55</v>
      </c>
      <c r="B608" s="22" t="s">
        <v>248</v>
      </c>
      <c r="C608" s="84"/>
      <c r="D608" s="86"/>
      <c r="E608" s="86">
        <v>7</v>
      </c>
      <c r="F608" s="86"/>
      <c r="G608" s="86">
        <v>3</v>
      </c>
      <c r="H608" s="86"/>
      <c r="I608" s="86"/>
      <c r="J608" s="86"/>
      <c r="K608" s="86"/>
      <c r="L608" s="86"/>
      <c r="M608" s="86">
        <v>10</v>
      </c>
      <c r="N608" s="86"/>
      <c r="O608" s="86"/>
      <c r="P608" s="86">
        <v>5</v>
      </c>
      <c r="Q608" s="86">
        <v>2</v>
      </c>
      <c r="R608" s="86">
        <v>1</v>
      </c>
      <c r="S608" s="86">
        <v>2</v>
      </c>
      <c r="T608" s="86"/>
      <c r="U608" s="86">
        <v>45</v>
      </c>
      <c r="V608" s="86"/>
      <c r="W608" s="86"/>
      <c r="X608" s="86"/>
      <c r="Y608" s="86"/>
      <c r="Z608" s="86"/>
      <c r="AA608" s="86"/>
      <c r="AB608" s="87"/>
      <c r="AC608" s="83"/>
      <c r="AD608" s="87"/>
      <c r="AE608" s="84"/>
    </row>
    <row r="609" spans="1:31" ht="65.25" thickBot="1">
      <c r="A609" s="84"/>
      <c r="B609" s="22" t="s">
        <v>29</v>
      </c>
      <c r="C609" s="84">
        <f>C607+C608</f>
        <v>0</v>
      </c>
      <c r="D609" s="84">
        <f aca="true" t="shared" si="106" ref="D609:AE609">D607+D608</f>
        <v>0</v>
      </c>
      <c r="E609" s="84">
        <f t="shared" si="106"/>
        <v>7</v>
      </c>
      <c r="F609" s="84">
        <f t="shared" si="106"/>
        <v>0</v>
      </c>
      <c r="G609" s="84">
        <f t="shared" si="106"/>
        <v>3</v>
      </c>
      <c r="H609" s="84">
        <f t="shared" si="106"/>
        <v>0</v>
      </c>
      <c r="I609" s="84">
        <f t="shared" si="106"/>
        <v>0</v>
      </c>
      <c r="J609" s="84">
        <f t="shared" si="106"/>
        <v>0</v>
      </c>
      <c r="K609" s="84">
        <f t="shared" si="106"/>
        <v>0</v>
      </c>
      <c r="L609" s="84">
        <f t="shared" si="106"/>
        <v>0</v>
      </c>
      <c r="M609" s="84">
        <f t="shared" si="106"/>
        <v>10</v>
      </c>
      <c r="N609" s="84">
        <f t="shared" si="106"/>
        <v>0</v>
      </c>
      <c r="O609" s="84">
        <f t="shared" si="106"/>
        <v>0</v>
      </c>
      <c r="P609" s="84">
        <f t="shared" si="106"/>
        <v>5</v>
      </c>
      <c r="Q609" s="84">
        <f t="shared" si="106"/>
        <v>2</v>
      </c>
      <c r="R609" s="84">
        <f t="shared" si="106"/>
        <v>1</v>
      </c>
      <c r="S609" s="84">
        <f t="shared" si="106"/>
        <v>2</v>
      </c>
      <c r="T609" s="84">
        <f t="shared" si="106"/>
        <v>185</v>
      </c>
      <c r="U609" s="84">
        <f t="shared" si="106"/>
        <v>45</v>
      </c>
      <c r="V609" s="84">
        <f t="shared" si="106"/>
        <v>0</v>
      </c>
      <c r="W609" s="84">
        <f t="shared" si="106"/>
        <v>0</v>
      </c>
      <c r="X609" s="84">
        <f t="shared" si="106"/>
        <v>0</v>
      </c>
      <c r="Y609" s="84">
        <f t="shared" si="106"/>
        <v>0</v>
      </c>
      <c r="Z609" s="84">
        <f t="shared" si="106"/>
        <v>0</v>
      </c>
      <c r="AA609" s="84">
        <f t="shared" si="106"/>
        <v>0</v>
      </c>
      <c r="AB609" s="84">
        <f t="shared" si="106"/>
        <v>0</v>
      </c>
      <c r="AC609" s="84">
        <f t="shared" si="106"/>
        <v>0</v>
      </c>
      <c r="AD609" s="84">
        <f t="shared" si="106"/>
        <v>0</v>
      </c>
      <c r="AE609" s="84">
        <f t="shared" si="106"/>
        <v>0</v>
      </c>
    </row>
    <row r="610" spans="1:31" ht="65.25" thickBot="1">
      <c r="A610" s="150" t="s">
        <v>144</v>
      </c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/>
      <c r="AC610" s="151"/>
      <c r="AD610" s="151"/>
      <c r="AE610" s="152"/>
    </row>
    <row r="611" spans="1:31" ht="129.75" thickBot="1">
      <c r="A611" s="84">
        <v>71</v>
      </c>
      <c r="B611" s="25" t="s">
        <v>261</v>
      </c>
      <c r="C611" s="84"/>
      <c r="D611" s="85"/>
      <c r="E611" s="85">
        <v>2</v>
      </c>
      <c r="F611" s="85"/>
      <c r="G611" s="85"/>
      <c r="H611" s="86"/>
      <c r="I611" s="86"/>
      <c r="J611" s="86">
        <v>30</v>
      </c>
      <c r="K611" s="86"/>
      <c r="L611" s="86"/>
      <c r="M611" s="86"/>
      <c r="N611" s="86"/>
      <c r="O611" s="86"/>
      <c r="P611" s="86"/>
      <c r="Q611" s="86">
        <v>2</v>
      </c>
      <c r="R611" s="86"/>
      <c r="S611" s="86"/>
      <c r="T611" s="86">
        <v>25</v>
      </c>
      <c r="U611" s="87"/>
      <c r="V611" s="84"/>
      <c r="W611" s="87"/>
      <c r="X611" s="84"/>
      <c r="Y611" s="86">
        <v>97</v>
      </c>
      <c r="Z611" s="86"/>
      <c r="AA611" s="86"/>
      <c r="AB611" s="86"/>
      <c r="AC611" s="86"/>
      <c r="AD611" s="87"/>
      <c r="AE611" s="83"/>
    </row>
    <row r="612" spans="1:31" ht="65.25" thickBot="1">
      <c r="A612" s="84">
        <v>79</v>
      </c>
      <c r="B612" s="22" t="s">
        <v>262</v>
      </c>
      <c r="C612" s="84"/>
      <c r="D612" s="86"/>
      <c r="E612" s="86"/>
      <c r="F612" s="86"/>
      <c r="G612" s="86"/>
      <c r="H612" s="86"/>
      <c r="I612" s="86">
        <v>129</v>
      </c>
      <c r="J612" s="86"/>
      <c r="K612" s="86"/>
      <c r="L612" s="86"/>
      <c r="M612" s="86"/>
      <c r="N612" s="86"/>
      <c r="O612" s="87"/>
      <c r="P612" s="83"/>
      <c r="Q612" s="87">
        <v>6</v>
      </c>
      <c r="R612" s="83"/>
      <c r="S612" s="87"/>
      <c r="T612" s="83"/>
      <c r="U612" s="90"/>
      <c r="V612" s="83"/>
      <c r="W612" s="83"/>
      <c r="X612" s="87"/>
      <c r="Y612" s="83"/>
      <c r="Z612" s="83"/>
      <c r="AA612" s="87"/>
      <c r="AB612" s="83"/>
      <c r="AC612" s="87"/>
      <c r="AD612" s="90"/>
      <c r="AE612" s="83"/>
    </row>
    <row r="613" spans="1:31" ht="129.75" thickBot="1">
      <c r="A613" s="83" t="s">
        <v>32</v>
      </c>
      <c r="B613" s="22" t="s">
        <v>56</v>
      </c>
      <c r="C613" s="84">
        <v>25</v>
      </c>
      <c r="D613" s="86"/>
      <c r="E613" s="86"/>
      <c r="F613" s="86"/>
      <c r="G613" s="86"/>
      <c r="H613" s="86"/>
      <c r="I613" s="86"/>
      <c r="J613" s="86"/>
      <c r="K613" s="86"/>
      <c r="L613" s="86"/>
      <c r="M613" s="86"/>
      <c r="N613" s="86"/>
      <c r="O613" s="86"/>
      <c r="P613" s="86"/>
      <c r="Q613" s="86"/>
      <c r="R613" s="86"/>
      <c r="S613" s="86"/>
      <c r="T613" s="87"/>
      <c r="U613" s="83"/>
      <c r="V613" s="86"/>
      <c r="W613" s="87"/>
      <c r="X613" s="83"/>
      <c r="Y613" s="86"/>
      <c r="Z613" s="86"/>
      <c r="AA613" s="86"/>
      <c r="AB613" s="86"/>
      <c r="AC613" s="86"/>
      <c r="AD613" s="87"/>
      <c r="AE613" s="83"/>
    </row>
    <row r="614" spans="1:31" ht="129.75" thickBot="1">
      <c r="A614" s="83">
        <v>69</v>
      </c>
      <c r="B614" s="22" t="s">
        <v>106</v>
      </c>
      <c r="C614" s="84"/>
      <c r="D614" s="86"/>
      <c r="E614" s="86"/>
      <c r="F614" s="86"/>
      <c r="G614" s="86"/>
      <c r="H614" s="86"/>
      <c r="I614" s="86"/>
      <c r="J614" s="86"/>
      <c r="K614" s="86"/>
      <c r="L614" s="86"/>
      <c r="M614" s="86">
        <v>85</v>
      </c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7"/>
      <c r="AE614" s="84"/>
    </row>
    <row r="615" spans="1:31" ht="65.25" thickBot="1">
      <c r="A615" s="89">
        <v>31</v>
      </c>
      <c r="B615" s="23" t="s">
        <v>9</v>
      </c>
      <c r="C615" s="84"/>
      <c r="D615" s="86"/>
      <c r="E615" s="86"/>
      <c r="F615" s="86"/>
      <c r="G615" s="86"/>
      <c r="H615" s="86"/>
      <c r="I615" s="86"/>
      <c r="J615" s="86"/>
      <c r="K615" s="86"/>
      <c r="L615" s="86"/>
      <c r="M615" s="86">
        <v>5</v>
      </c>
      <c r="N615" s="86"/>
      <c r="O615" s="86"/>
      <c r="P615" s="84">
        <v>12</v>
      </c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4">
        <v>0.58</v>
      </c>
      <c r="AC615" s="86"/>
      <c r="AD615" s="87"/>
      <c r="AE615" s="83"/>
    </row>
    <row r="616" spans="1:31" ht="65.25" thickBot="1">
      <c r="A616" s="80"/>
      <c r="B616" s="22" t="s">
        <v>6</v>
      </c>
      <c r="C616" s="84">
        <f aca="true" t="shared" si="107" ref="C616:AE616">SUM(C611:C615)</f>
        <v>25</v>
      </c>
      <c r="D616" s="84">
        <f t="shared" si="107"/>
        <v>0</v>
      </c>
      <c r="E616" s="84">
        <f t="shared" si="107"/>
        <v>2</v>
      </c>
      <c r="F616" s="84">
        <f t="shared" si="107"/>
        <v>0</v>
      </c>
      <c r="G616" s="84">
        <f t="shared" si="107"/>
        <v>0</v>
      </c>
      <c r="H616" s="84">
        <f t="shared" si="107"/>
        <v>0</v>
      </c>
      <c r="I616" s="84">
        <f t="shared" si="107"/>
        <v>129</v>
      </c>
      <c r="J616" s="84">
        <f t="shared" si="107"/>
        <v>30</v>
      </c>
      <c r="K616" s="84">
        <f t="shared" si="107"/>
        <v>0</v>
      </c>
      <c r="L616" s="84">
        <f t="shared" si="107"/>
        <v>0</v>
      </c>
      <c r="M616" s="84">
        <f t="shared" si="107"/>
        <v>90</v>
      </c>
      <c r="N616" s="84">
        <f t="shared" si="107"/>
        <v>0</v>
      </c>
      <c r="O616" s="84">
        <f t="shared" si="107"/>
        <v>0</v>
      </c>
      <c r="P616" s="84">
        <f t="shared" si="107"/>
        <v>12</v>
      </c>
      <c r="Q616" s="84">
        <f t="shared" si="107"/>
        <v>8</v>
      </c>
      <c r="R616" s="84">
        <f t="shared" si="107"/>
        <v>0</v>
      </c>
      <c r="S616" s="84">
        <f t="shared" si="107"/>
        <v>0</v>
      </c>
      <c r="T616" s="84">
        <f t="shared" si="107"/>
        <v>25</v>
      </c>
      <c r="U616" s="84">
        <f t="shared" si="107"/>
        <v>0</v>
      </c>
      <c r="V616" s="84">
        <f t="shared" si="107"/>
        <v>0</v>
      </c>
      <c r="W616" s="84">
        <f t="shared" si="107"/>
        <v>0</v>
      </c>
      <c r="X616" s="84">
        <f t="shared" si="107"/>
        <v>0</v>
      </c>
      <c r="Y616" s="84">
        <f t="shared" si="107"/>
        <v>97</v>
      </c>
      <c r="Z616" s="84">
        <f t="shared" si="107"/>
        <v>0</v>
      </c>
      <c r="AA616" s="84">
        <f t="shared" si="107"/>
        <v>0</v>
      </c>
      <c r="AB616" s="84">
        <f t="shared" si="107"/>
        <v>0.58</v>
      </c>
      <c r="AC616" s="84">
        <f t="shared" si="107"/>
        <v>0</v>
      </c>
      <c r="AD616" s="84">
        <f t="shared" si="107"/>
        <v>0</v>
      </c>
      <c r="AE616" s="84">
        <f t="shared" si="107"/>
        <v>0</v>
      </c>
    </row>
    <row r="617" spans="1:31" ht="194.25" thickBot="1">
      <c r="A617" s="145"/>
      <c r="B617" s="22" t="s">
        <v>150</v>
      </c>
      <c r="C617" s="84"/>
      <c r="D617" s="84"/>
      <c r="E617" s="84"/>
      <c r="F617" s="84"/>
      <c r="G617" s="84"/>
      <c r="H617" s="84"/>
      <c r="I617" s="84"/>
      <c r="J617" s="84"/>
      <c r="K617" s="84"/>
      <c r="L617" s="84"/>
      <c r="M617" s="84"/>
      <c r="N617" s="84"/>
      <c r="O617" s="84"/>
      <c r="P617" s="84"/>
      <c r="Q617" s="84"/>
      <c r="R617" s="84"/>
      <c r="S617" s="84"/>
      <c r="T617" s="84"/>
      <c r="U617" s="84"/>
      <c r="V617" s="84"/>
      <c r="W617" s="84"/>
      <c r="X617" s="84"/>
      <c r="Y617" s="84"/>
      <c r="Z617" s="84"/>
      <c r="AA617" s="84"/>
      <c r="AB617" s="84"/>
      <c r="AC617" s="84"/>
      <c r="AD617" s="88"/>
      <c r="AE617" s="84"/>
    </row>
    <row r="618" spans="1:31" ht="65.25" thickBot="1">
      <c r="A618" s="83"/>
      <c r="B618" s="93" t="s">
        <v>10</v>
      </c>
      <c r="C618" s="103">
        <f aca="true" t="shared" si="108" ref="C618:AE618">C592+C595+C605+C609+C616</f>
        <v>88</v>
      </c>
      <c r="D618" s="103">
        <f t="shared" si="108"/>
        <v>50</v>
      </c>
      <c r="E618" s="103">
        <f t="shared" si="108"/>
        <v>11.8</v>
      </c>
      <c r="F618" s="103">
        <f t="shared" si="108"/>
        <v>0</v>
      </c>
      <c r="G618" s="103">
        <f t="shared" si="108"/>
        <v>83</v>
      </c>
      <c r="H618" s="103">
        <f t="shared" si="108"/>
        <v>0</v>
      </c>
      <c r="I618" s="103">
        <f t="shared" si="108"/>
        <v>153</v>
      </c>
      <c r="J618" s="103">
        <f t="shared" si="108"/>
        <v>150</v>
      </c>
      <c r="K618" s="103">
        <f t="shared" si="108"/>
        <v>150</v>
      </c>
      <c r="L618" s="103">
        <f t="shared" si="108"/>
        <v>0</v>
      </c>
      <c r="M618" s="103">
        <f t="shared" si="108"/>
        <v>100</v>
      </c>
      <c r="N618" s="103">
        <f t="shared" si="108"/>
        <v>20</v>
      </c>
      <c r="O618" s="103">
        <f t="shared" si="108"/>
        <v>25</v>
      </c>
      <c r="P618" s="103">
        <f t="shared" si="108"/>
        <v>46</v>
      </c>
      <c r="Q618" s="103">
        <f t="shared" si="108"/>
        <v>30.6</v>
      </c>
      <c r="R618" s="103">
        <f t="shared" si="108"/>
        <v>1</v>
      </c>
      <c r="S618" s="103">
        <f t="shared" si="108"/>
        <v>7</v>
      </c>
      <c r="T618" s="103">
        <f t="shared" si="108"/>
        <v>464</v>
      </c>
      <c r="U618" s="103">
        <f t="shared" si="108"/>
        <v>45</v>
      </c>
      <c r="V618" s="103">
        <f t="shared" si="108"/>
        <v>0</v>
      </c>
      <c r="W618" s="103">
        <f t="shared" si="108"/>
        <v>13</v>
      </c>
      <c r="X618" s="103">
        <f t="shared" si="108"/>
        <v>128</v>
      </c>
      <c r="Y618" s="103">
        <f t="shared" si="108"/>
        <v>97</v>
      </c>
      <c r="Z618" s="103">
        <f t="shared" si="108"/>
        <v>8</v>
      </c>
      <c r="AA618" s="103">
        <f t="shared" si="108"/>
        <v>13</v>
      </c>
      <c r="AB618" s="103">
        <f t="shared" si="108"/>
        <v>0.58</v>
      </c>
      <c r="AC618" s="103">
        <f t="shared" si="108"/>
        <v>2.4</v>
      </c>
      <c r="AD618" s="103">
        <f t="shared" si="108"/>
        <v>0</v>
      </c>
      <c r="AE618" s="103">
        <f t="shared" si="108"/>
        <v>0</v>
      </c>
    </row>
    <row r="619" spans="1:31" ht="101.25" customHeight="1" thickBot="1">
      <c r="A619" s="150" t="s">
        <v>40</v>
      </c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/>
      <c r="AC619" s="151"/>
      <c r="AD619" s="151"/>
      <c r="AE619" s="152"/>
    </row>
    <row r="620" spans="1:31" ht="65.25" thickBot="1">
      <c r="A620" s="150" t="s">
        <v>96</v>
      </c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/>
      <c r="AC620" s="151"/>
      <c r="AD620" s="151"/>
      <c r="AE620" s="152"/>
    </row>
    <row r="621" spans="1:31" ht="46.5" customHeight="1">
      <c r="A621" s="166" t="s">
        <v>30</v>
      </c>
      <c r="B621" s="168" t="s">
        <v>23</v>
      </c>
      <c r="C621" s="153" t="s">
        <v>116</v>
      </c>
      <c r="D621" s="153" t="s">
        <v>117</v>
      </c>
      <c r="E621" s="153" t="s">
        <v>130</v>
      </c>
      <c r="F621" s="153" t="s">
        <v>119</v>
      </c>
      <c r="G621" s="153" t="s">
        <v>131</v>
      </c>
      <c r="H621" s="153" t="s">
        <v>132</v>
      </c>
      <c r="I621" s="153" t="s">
        <v>110</v>
      </c>
      <c r="J621" s="153" t="s">
        <v>257</v>
      </c>
      <c r="K621" s="140"/>
      <c r="L621" s="140"/>
      <c r="M621" s="153" t="s">
        <v>142</v>
      </c>
      <c r="N621" s="153" t="s">
        <v>79</v>
      </c>
      <c r="O621" s="153" t="s">
        <v>139</v>
      </c>
      <c r="P621" s="153" t="s">
        <v>80</v>
      </c>
      <c r="Q621" s="153" t="s">
        <v>124</v>
      </c>
      <c r="R621" s="153" t="s">
        <v>81</v>
      </c>
      <c r="S621" s="153" t="s">
        <v>134</v>
      </c>
      <c r="T621" s="153" t="s">
        <v>135</v>
      </c>
      <c r="U621" s="153" t="s">
        <v>136</v>
      </c>
      <c r="V621" s="140"/>
      <c r="W621" s="153" t="s">
        <v>113</v>
      </c>
      <c r="X621" s="153" t="s">
        <v>129</v>
      </c>
      <c r="Y621" s="153" t="s">
        <v>84</v>
      </c>
      <c r="Z621" s="153" t="s">
        <v>82</v>
      </c>
      <c r="AA621" s="153" t="s">
        <v>83</v>
      </c>
      <c r="AB621" s="153" t="s">
        <v>85</v>
      </c>
      <c r="AC621" s="140"/>
      <c r="AD621" s="158" t="s">
        <v>78</v>
      </c>
      <c r="AE621" s="153" t="s">
        <v>137</v>
      </c>
    </row>
    <row r="622" spans="1:31" ht="409.5" thickBot="1">
      <c r="A622" s="167"/>
      <c r="B622" s="169"/>
      <c r="C622" s="154"/>
      <c r="D622" s="154"/>
      <c r="E622" s="154"/>
      <c r="F622" s="154"/>
      <c r="G622" s="154"/>
      <c r="H622" s="154"/>
      <c r="I622" s="154"/>
      <c r="J622" s="154"/>
      <c r="K622" s="141" t="s">
        <v>133</v>
      </c>
      <c r="L622" s="141" t="s">
        <v>143</v>
      </c>
      <c r="M622" s="154"/>
      <c r="N622" s="154"/>
      <c r="O622" s="154"/>
      <c r="P622" s="154"/>
      <c r="Q622" s="154"/>
      <c r="R622" s="154"/>
      <c r="S622" s="154"/>
      <c r="T622" s="154"/>
      <c r="U622" s="154"/>
      <c r="V622" s="141" t="s">
        <v>140</v>
      </c>
      <c r="W622" s="154"/>
      <c r="X622" s="154"/>
      <c r="Y622" s="154"/>
      <c r="Z622" s="154"/>
      <c r="AA622" s="154"/>
      <c r="AB622" s="154"/>
      <c r="AC622" s="141" t="s">
        <v>77</v>
      </c>
      <c r="AD622" s="159"/>
      <c r="AE622" s="154"/>
    </row>
    <row r="623" spans="1:31" ht="65.25" thickBot="1">
      <c r="A623" s="145">
        <v>1</v>
      </c>
      <c r="B623" s="79">
        <v>2</v>
      </c>
      <c r="C623" s="80" t="s">
        <v>54</v>
      </c>
      <c r="D623" s="81">
        <v>4</v>
      </c>
      <c r="E623" s="80">
        <v>5</v>
      </c>
      <c r="F623" s="80">
        <v>6</v>
      </c>
      <c r="G623" s="80">
        <v>7</v>
      </c>
      <c r="H623" s="80">
        <v>8</v>
      </c>
      <c r="I623" s="80" t="s">
        <v>55</v>
      </c>
      <c r="J623" s="81">
        <v>10</v>
      </c>
      <c r="K623" s="80">
        <v>11</v>
      </c>
      <c r="L623" s="108">
        <v>12</v>
      </c>
      <c r="M623" s="80">
        <v>13</v>
      </c>
      <c r="N623" s="80">
        <v>14</v>
      </c>
      <c r="O623" s="80">
        <v>15</v>
      </c>
      <c r="P623" s="80">
        <v>16</v>
      </c>
      <c r="Q623" s="143">
        <v>17</v>
      </c>
      <c r="R623" s="80">
        <v>18</v>
      </c>
      <c r="S623" s="143">
        <v>19</v>
      </c>
      <c r="T623" s="80">
        <v>20</v>
      </c>
      <c r="U623" s="143">
        <v>21</v>
      </c>
      <c r="V623" s="143">
        <v>22</v>
      </c>
      <c r="W623" s="80">
        <v>23</v>
      </c>
      <c r="X623" s="80">
        <v>24</v>
      </c>
      <c r="Y623" s="143">
        <v>25</v>
      </c>
      <c r="Z623" s="80">
        <v>26</v>
      </c>
      <c r="AA623" s="80">
        <v>27</v>
      </c>
      <c r="AB623" s="80">
        <v>28</v>
      </c>
      <c r="AC623" s="143">
        <v>29</v>
      </c>
      <c r="AD623" s="142">
        <v>30</v>
      </c>
      <c r="AE623" s="80">
        <v>32</v>
      </c>
    </row>
    <row r="624" spans="1:31" ht="65.25" thickBot="1">
      <c r="A624" s="150" t="s">
        <v>5</v>
      </c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/>
      <c r="AC624" s="151"/>
      <c r="AD624" s="151"/>
      <c r="AE624" s="152"/>
    </row>
    <row r="625" spans="1:31" ht="129.75" thickBot="1">
      <c r="A625" s="94">
        <v>68</v>
      </c>
      <c r="B625" s="75" t="s">
        <v>220</v>
      </c>
      <c r="C625" s="95"/>
      <c r="D625" s="96"/>
      <c r="E625" s="96"/>
      <c r="F625" s="96"/>
      <c r="G625" s="96">
        <v>23</v>
      </c>
      <c r="H625" s="96"/>
      <c r="I625" s="96"/>
      <c r="J625" s="96"/>
      <c r="K625" s="96"/>
      <c r="L625" s="96"/>
      <c r="M625" s="96"/>
      <c r="N625" s="96"/>
      <c r="O625" s="94"/>
      <c r="P625" s="97">
        <v>5</v>
      </c>
      <c r="Q625" s="94">
        <v>2</v>
      </c>
      <c r="R625" s="97"/>
      <c r="S625" s="94"/>
      <c r="T625" s="97">
        <v>137</v>
      </c>
      <c r="U625" s="94"/>
      <c r="V625" s="97"/>
      <c r="W625" s="95"/>
      <c r="X625" s="97"/>
      <c r="Y625" s="94"/>
      <c r="Z625" s="97"/>
      <c r="AA625" s="94"/>
      <c r="AB625" s="97"/>
      <c r="AC625" s="95"/>
      <c r="AD625" s="98"/>
      <c r="AE625" s="94"/>
    </row>
    <row r="626" spans="1:31" ht="129.75" thickBot="1">
      <c r="A626" s="83">
        <v>2</v>
      </c>
      <c r="B626" s="22" t="s">
        <v>69</v>
      </c>
      <c r="C626" s="84"/>
      <c r="D626" s="86"/>
      <c r="E626" s="86"/>
      <c r="F626" s="86"/>
      <c r="G626" s="86"/>
      <c r="H626" s="86"/>
      <c r="I626" s="86"/>
      <c r="J626" s="86"/>
      <c r="K626" s="86"/>
      <c r="L626" s="86"/>
      <c r="M626" s="86"/>
      <c r="N626" s="86"/>
      <c r="O626" s="83"/>
      <c r="P626" s="84">
        <v>11</v>
      </c>
      <c r="Q626" s="83"/>
      <c r="R626" s="87"/>
      <c r="S626" s="83"/>
      <c r="T626" s="84">
        <v>100</v>
      </c>
      <c r="U626" s="83"/>
      <c r="V626" s="87"/>
      <c r="W626" s="83"/>
      <c r="X626" s="87"/>
      <c r="Y626" s="83"/>
      <c r="Z626" s="87"/>
      <c r="AA626" s="83"/>
      <c r="AB626" s="87"/>
      <c r="AC626" s="83">
        <v>2.4</v>
      </c>
      <c r="AD626" s="90"/>
      <c r="AE626" s="84"/>
    </row>
    <row r="627" spans="1:31" ht="65.25" thickBot="1">
      <c r="A627" s="83">
        <v>86</v>
      </c>
      <c r="B627" s="22" t="s">
        <v>206</v>
      </c>
      <c r="C627" s="86">
        <v>25</v>
      </c>
      <c r="D627" s="86"/>
      <c r="E627" s="86"/>
      <c r="F627" s="86"/>
      <c r="G627" s="86"/>
      <c r="H627" s="86"/>
      <c r="I627" s="86"/>
      <c r="J627" s="86"/>
      <c r="K627" s="86"/>
      <c r="L627" s="86"/>
      <c r="M627" s="86">
        <v>10</v>
      </c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7"/>
      <c r="AE627" s="83"/>
    </row>
    <row r="628" spans="1:31" ht="65.25" thickBot="1">
      <c r="A628" s="83"/>
      <c r="B628" s="22" t="s">
        <v>6</v>
      </c>
      <c r="C628" s="84">
        <f aca="true" t="shared" si="109" ref="C628:AE628">SUM(C625:C627)</f>
        <v>25</v>
      </c>
      <c r="D628" s="84">
        <f t="shared" si="109"/>
        <v>0</v>
      </c>
      <c r="E628" s="84">
        <f t="shared" si="109"/>
        <v>0</v>
      </c>
      <c r="F628" s="84">
        <f t="shared" si="109"/>
        <v>0</v>
      </c>
      <c r="G628" s="84">
        <f t="shared" si="109"/>
        <v>23</v>
      </c>
      <c r="H628" s="84">
        <f t="shared" si="109"/>
        <v>0</v>
      </c>
      <c r="I628" s="84">
        <f t="shared" si="109"/>
        <v>0</v>
      </c>
      <c r="J628" s="84">
        <f t="shared" si="109"/>
        <v>0</v>
      </c>
      <c r="K628" s="84">
        <f t="shared" si="109"/>
        <v>0</v>
      </c>
      <c r="L628" s="84">
        <f t="shared" si="109"/>
        <v>0</v>
      </c>
      <c r="M628" s="84">
        <f t="shared" si="109"/>
        <v>10</v>
      </c>
      <c r="N628" s="84">
        <f t="shared" si="109"/>
        <v>0</v>
      </c>
      <c r="O628" s="84">
        <f t="shared" si="109"/>
        <v>0</v>
      </c>
      <c r="P628" s="84">
        <f t="shared" si="109"/>
        <v>16</v>
      </c>
      <c r="Q628" s="84">
        <f t="shared" si="109"/>
        <v>2</v>
      </c>
      <c r="R628" s="84">
        <f t="shared" si="109"/>
        <v>0</v>
      </c>
      <c r="S628" s="84">
        <f t="shared" si="109"/>
        <v>0</v>
      </c>
      <c r="T628" s="84">
        <f t="shared" si="109"/>
        <v>237</v>
      </c>
      <c r="U628" s="84">
        <f t="shared" si="109"/>
        <v>0</v>
      </c>
      <c r="V628" s="84">
        <f t="shared" si="109"/>
        <v>0</v>
      </c>
      <c r="W628" s="84">
        <f t="shared" si="109"/>
        <v>0</v>
      </c>
      <c r="X628" s="84">
        <f t="shared" si="109"/>
        <v>0</v>
      </c>
      <c r="Y628" s="84">
        <f t="shared" si="109"/>
        <v>0</v>
      </c>
      <c r="Z628" s="84">
        <f t="shared" si="109"/>
        <v>0</v>
      </c>
      <c r="AA628" s="84">
        <f t="shared" si="109"/>
        <v>0</v>
      </c>
      <c r="AB628" s="84">
        <f t="shared" si="109"/>
        <v>0</v>
      </c>
      <c r="AC628" s="84">
        <f t="shared" si="109"/>
        <v>2.4</v>
      </c>
      <c r="AD628" s="88">
        <f t="shared" si="109"/>
        <v>0</v>
      </c>
      <c r="AE628" s="84">
        <f t="shared" si="109"/>
        <v>0</v>
      </c>
    </row>
    <row r="629" spans="1:31" ht="65.25" thickBot="1">
      <c r="A629" s="155" t="s">
        <v>53</v>
      </c>
      <c r="B629" s="156"/>
      <c r="C629" s="156"/>
      <c r="D629" s="156"/>
      <c r="E629" s="156"/>
      <c r="F629" s="156"/>
      <c r="G629" s="156"/>
      <c r="H629" s="156"/>
      <c r="I629" s="156"/>
      <c r="J629" s="156"/>
      <c r="K629" s="156"/>
      <c r="L629" s="156"/>
      <c r="M629" s="156"/>
      <c r="N629" s="156"/>
      <c r="O629" s="156"/>
      <c r="P629" s="156"/>
      <c r="Q629" s="156"/>
      <c r="R629" s="156"/>
      <c r="S629" s="156"/>
      <c r="T629" s="156"/>
      <c r="U629" s="156"/>
      <c r="V629" s="156"/>
      <c r="W629" s="156"/>
      <c r="X629" s="156"/>
      <c r="Y629" s="156"/>
      <c r="Z629" s="156"/>
      <c r="AA629" s="156"/>
      <c r="AB629" s="156"/>
      <c r="AC629" s="156"/>
      <c r="AD629" s="156"/>
      <c r="AE629" s="157"/>
    </row>
    <row r="630" spans="1:31" ht="65.25" thickBot="1">
      <c r="A630" s="83" t="s">
        <v>32</v>
      </c>
      <c r="B630" s="25" t="s">
        <v>182</v>
      </c>
      <c r="C630" s="84"/>
      <c r="D630" s="86"/>
      <c r="E630" s="86"/>
      <c r="F630" s="86"/>
      <c r="G630" s="86"/>
      <c r="H630" s="86"/>
      <c r="I630" s="86"/>
      <c r="J630" s="86"/>
      <c r="K630" s="86">
        <v>150</v>
      </c>
      <c r="L630" s="86"/>
      <c r="M630" s="86"/>
      <c r="N630" s="86"/>
      <c r="O630" s="87"/>
      <c r="P630" s="84"/>
      <c r="Q630" s="87"/>
      <c r="R630" s="84"/>
      <c r="S630" s="87"/>
      <c r="T630" s="84"/>
      <c r="U630" s="87"/>
      <c r="V630" s="84"/>
      <c r="W630" s="84"/>
      <c r="X630" s="87"/>
      <c r="Y630" s="84"/>
      <c r="Z630" s="84"/>
      <c r="AA630" s="87"/>
      <c r="AB630" s="84"/>
      <c r="AC630" s="87"/>
      <c r="AD630" s="88"/>
      <c r="AE630" s="83"/>
    </row>
    <row r="631" spans="1:31" ht="65.25" thickBot="1">
      <c r="A631" s="83"/>
      <c r="B631" s="22" t="s">
        <v>29</v>
      </c>
      <c r="C631" s="86">
        <f>SUM(C630)</f>
        <v>0</v>
      </c>
      <c r="D631" s="86">
        <f>SUM(D630)</f>
        <v>0</v>
      </c>
      <c r="E631" s="86">
        <f aca="true" t="shared" si="110" ref="E631:AD631">SUM(E630)</f>
        <v>0</v>
      </c>
      <c r="F631" s="86">
        <f t="shared" si="110"/>
        <v>0</v>
      </c>
      <c r="G631" s="86">
        <f t="shared" si="110"/>
        <v>0</v>
      </c>
      <c r="H631" s="86">
        <f t="shared" si="110"/>
        <v>0</v>
      </c>
      <c r="I631" s="86">
        <f t="shared" si="110"/>
        <v>0</v>
      </c>
      <c r="J631" s="86">
        <f t="shared" si="110"/>
        <v>0</v>
      </c>
      <c r="K631" s="86">
        <f t="shared" si="110"/>
        <v>150</v>
      </c>
      <c r="L631" s="86">
        <f t="shared" si="110"/>
        <v>0</v>
      </c>
      <c r="M631" s="86">
        <f t="shared" si="110"/>
        <v>0</v>
      </c>
      <c r="N631" s="86">
        <f t="shared" si="110"/>
        <v>0</v>
      </c>
      <c r="O631" s="86">
        <f t="shared" si="110"/>
        <v>0</v>
      </c>
      <c r="P631" s="86">
        <f t="shared" si="110"/>
        <v>0</v>
      </c>
      <c r="Q631" s="86">
        <f t="shared" si="110"/>
        <v>0</v>
      </c>
      <c r="R631" s="86">
        <f t="shared" si="110"/>
        <v>0</v>
      </c>
      <c r="S631" s="86">
        <f t="shared" si="110"/>
        <v>0</v>
      </c>
      <c r="T631" s="86">
        <f t="shared" si="110"/>
        <v>0</v>
      </c>
      <c r="U631" s="86">
        <f t="shared" si="110"/>
        <v>0</v>
      </c>
      <c r="V631" s="86">
        <f t="shared" si="110"/>
        <v>0</v>
      </c>
      <c r="W631" s="86">
        <f t="shared" si="110"/>
        <v>0</v>
      </c>
      <c r="X631" s="86">
        <f t="shared" si="110"/>
        <v>0</v>
      </c>
      <c r="Y631" s="86">
        <f t="shared" si="110"/>
        <v>0</v>
      </c>
      <c r="Z631" s="86">
        <f t="shared" si="110"/>
        <v>0</v>
      </c>
      <c r="AA631" s="86">
        <f t="shared" si="110"/>
        <v>0</v>
      </c>
      <c r="AB631" s="86">
        <f t="shared" si="110"/>
        <v>0</v>
      </c>
      <c r="AC631" s="86">
        <f t="shared" si="110"/>
        <v>0</v>
      </c>
      <c r="AD631" s="87">
        <f t="shared" si="110"/>
        <v>0</v>
      </c>
      <c r="AE631" s="83">
        <f>SUM(AE630)</f>
        <v>0</v>
      </c>
    </row>
    <row r="632" spans="1:31" ht="65.25" thickBot="1">
      <c r="A632" s="150" t="s">
        <v>8</v>
      </c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/>
      <c r="AC632" s="151"/>
      <c r="AD632" s="151"/>
      <c r="AE632" s="152"/>
    </row>
    <row r="633" spans="1:31" ht="65.25" thickBot="1">
      <c r="A633" s="84">
        <v>51</v>
      </c>
      <c r="B633" s="22" t="s">
        <v>226</v>
      </c>
      <c r="C633" s="84"/>
      <c r="D633" s="86"/>
      <c r="E633" s="86"/>
      <c r="F633" s="86"/>
      <c r="G633" s="86"/>
      <c r="H633" s="86"/>
      <c r="I633" s="86"/>
      <c r="J633" s="86">
        <v>56.5</v>
      </c>
      <c r="K633" s="86"/>
      <c r="L633" s="86"/>
      <c r="M633" s="86"/>
      <c r="N633" s="86"/>
      <c r="O633" s="87"/>
      <c r="P633" s="83"/>
      <c r="Q633" s="87"/>
      <c r="R633" s="83">
        <v>5</v>
      </c>
      <c r="S633" s="87"/>
      <c r="T633" s="83"/>
      <c r="U633" s="87"/>
      <c r="V633" s="84"/>
      <c r="W633" s="83"/>
      <c r="X633" s="87"/>
      <c r="Y633" s="84"/>
      <c r="Z633" s="83"/>
      <c r="AA633" s="87"/>
      <c r="AB633" s="83"/>
      <c r="AC633" s="84"/>
      <c r="AD633" s="87"/>
      <c r="AE633" s="84"/>
    </row>
    <row r="634" spans="1:31" ht="129.75" thickBot="1">
      <c r="A634" s="83">
        <v>92</v>
      </c>
      <c r="B634" s="22" t="s">
        <v>238</v>
      </c>
      <c r="C634" s="84"/>
      <c r="D634" s="85"/>
      <c r="E634" s="85"/>
      <c r="F634" s="85"/>
      <c r="G634" s="85"/>
      <c r="H634" s="86"/>
      <c r="I634" s="86">
        <v>100</v>
      </c>
      <c r="J634" s="86">
        <v>22</v>
      </c>
      <c r="K634" s="86"/>
      <c r="L634" s="86"/>
      <c r="M634" s="86"/>
      <c r="N634" s="86"/>
      <c r="O634" s="87"/>
      <c r="P634" s="84"/>
      <c r="Q634" s="87">
        <v>3</v>
      </c>
      <c r="R634" s="84"/>
      <c r="S634" s="87">
        <v>20</v>
      </c>
      <c r="T634" s="84"/>
      <c r="U634" s="87"/>
      <c r="V634" s="83"/>
      <c r="W634" s="83"/>
      <c r="X634" s="87">
        <v>25</v>
      </c>
      <c r="Y634" s="83"/>
      <c r="Z634" s="84"/>
      <c r="AA634" s="84"/>
      <c r="AB634" s="87"/>
      <c r="AC634" s="83"/>
      <c r="AD634" s="88"/>
      <c r="AE634" s="84"/>
    </row>
    <row r="635" spans="1:31" ht="65.25" thickBot="1">
      <c r="A635" s="83">
        <v>81</v>
      </c>
      <c r="B635" s="22" t="s">
        <v>209</v>
      </c>
      <c r="C635" s="84"/>
      <c r="D635" s="86"/>
      <c r="E635" s="86">
        <v>1.8</v>
      </c>
      <c r="F635" s="86"/>
      <c r="G635" s="86"/>
      <c r="H635" s="86"/>
      <c r="I635" s="86"/>
      <c r="J635" s="86">
        <v>186.6</v>
      </c>
      <c r="K635" s="86"/>
      <c r="L635" s="86"/>
      <c r="M635" s="86"/>
      <c r="N635" s="86"/>
      <c r="O635" s="86"/>
      <c r="P635" s="86">
        <v>4</v>
      </c>
      <c r="Q635" s="86"/>
      <c r="R635" s="86">
        <v>4</v>
      </c>
      <c r="S635" s="86"/>
      <c r="T635" s="86"/>
      <c r="U635" s="86"/>
      <c r="V635" s="86"/>
      <c r="W635" s="86">
        <v>98</v>
      </c>
      <c r="X635" s="86"/>
      <c r="Y635" s="86"/>
      <c r="Z635" s="86"/>
      <c r="AA635" s="86"/>
      <c r="AB635" s="86"/>
      <c r="AC635" s="86"/>
      <c r="AD635" s="87"/>
      <c r="AE635" s="83"/>
    </row>
    <row r="636" spans="1:31" ht="194.25" thickBot="1">
      <c r="A636" s="83">
        <v>20</v>
      </c>
      <c r="B636" s="22" t="s">
        <v>232</v>
      </c>
      <c r="C636" s="84"/>
      <c r="D636" s="85"/>
      <c r="E636" s="85"/>
      <c r="F636" s="85">
        <v>9.5</v>
      </c>
      <c r="G636" s="85"/>
      <c r="H636" s="86"/>
      <c r="I636" s="86"/>
      <c r="J636" s="86"/>
      <c r="K636" s="86"/>
      <c r="L636" s="86"/>
      <c r="M636" s="86"/>
      <c r="N636" s="86"/>
      <c r="O636" s="87"/>
      <c r="P636" s="84">
        <v>8</v>
      </c>
      <c r="Q636" s="87"/>
      <c r="R636" s="84"/>
      <c r="S636" s="87"/>
      <c r="T636" s="84"/>
      <c r="U636" s="87"/>
      <c r="V636" s="83"/>
      <c r="W636" s="84"/>
      <c r="X636" s="87"/>
      <c r="Y636" s="83"/>
      <c r="Z636" s="84"/>
      <c r="AA636" s="84"/>
      <c r="AB636" s="87"/>
      <c r="AC636" s="83"/>
      <c r="AD636" s="88"/>
      <c r="AE636" s="84"/>
    </row>
    <row r="637" spans="1:31" ht="129.75" thickBot="1">
      <c r="A637" s="83" t="s">
        <v>32</v>
      </c>
      <c r="B637" s="22" t="s">
        <v>56</v>
      </c>
      <c r="C637" s="84">
        <v>25</v>
      </c>
      <c r="D637" s="86"/>
      <c r="E637" s="86"/>
      <c r="F637" s="86"/>
      <c r="G637" s="86"/>
      <c r="H637" s="86"/>
      <c r="I637" s="86"/>
      <c r="J637" s="86"/>
      <c r="K637" s="86"/>
      <c r="L637" s="86"/>
      <c r="M637" s="86"/>
      <c r="N637" s="86"/>
      <c r="O637" s="86"/>
      <c r="P637" s="86"/>
      <c r="Q637" s="86"/>
      <c r="R637" s="86"/>
      <c r="S637" s="86"/>
      <c r="T637" s="86"/>
      <c r="U637" s="87"/>
      <c r="V637" s="83"/>
      <c r="W637" s="86"/>
      <c r="X637" s="87"/>
      <c r="Y637" s="83"/>
      <c r="Z637" s="86"/>
      <c r="AA637" s="86"/>
      <c r="AB637" s="86"/>
      <c r="AC637" s="86"/>
      <c r="AD637" s="87"/>
      <c r="AE637" s="83"/>
    </row>
    <row r="638" spans="1:31" ht="129.75" thickBot="1">
      <c r="A638" s="83" t="s">
        <v>32</v>
      </c>
      <c r="B638" s="22" t="s">
        <v>58</v>
      </c>
      <c r="C638" s="84"/>
      <c r="D638" s="86">
        <v>50</v>
      </c>
      <c r="E638" s="86"/>
      <c r="F638" s="86"/>
      <c r="G638" s="86"/>
      <c r="H638" s="86"/>
      <c r="I638" s="85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  <c r="U638" s="85"/>
      <c r="V638" s="85"/>
      <c r="W638" s="85"/>
      <c r="X638" s="85"/>
      <c r="Y638" s="85"/>
      <c r="Z638" s="85"/>
      <c r="AA638" s="85"/>
      <c r="AB638" s="85"/>
      <c r="AC638" s="85"/>
      <c r="AD638" s="91"/>
      <c r="AE638" s="84"/>
    </row>
    <row r="639" spans="1:31" ht="65.25" thickBot="1">
      <c r="A639" s="84"/>
      <c r="B639" s="25" t="s">
        <v>29</v>
      </c>
      <c r="C639" s="84">
        <f aca="true" t="shared" si="111" ref="C639:AE639">SUM(C633:C638)</f>
        <v>25</v>
      </c>
      <c r="D639" s="84">
        <f t="shared" si="111"/>
        <v>50</v>
      </c>
      <c r="E639" s="84">
        <f t="shared" si="111"/>
        <v>1.8</v>
      </c>
      <c r="F639" s="84">
        <f t="shared" si="111"/>
        <v>9.5</v>
      </c>
      <c r="G639" s="84">
        <f t="shared" si="111"/>
        <v>0</v>
      </c>
      <c r="H639" s="84">
        <f t="shared" si="111"/>
        <v>0</v>
      </c>
      <c r="I639" s="84">
        <f t="shared" si="111"/>
        <v>100</v>
      </c>
      <c r="J639" s="84">
        <f t="shared" si="111"/>
        <v>265.1</v>
      </c>
      <c r="K639" s="84">
        <f t="shared" si="111"/>
        <v>0</v>
      </c>
      <c r="L639" s="84">
        <f t="shared" si="111"/>
        <v>0</v>
      </c>
      <c r="M639" s="84">
        <f t="shared" si="111"/>
        <v>0</v>
      </c>
      <c r="N639" s="84">
        <f t="shared" si="111"/>
        <v>0</v>
      </c>
      <c r="O639" s="84">
        <f t="shared" si="111"/>
        <v>0</v>
      </c>
      <c r="P639" s="84">
        <f t="shared" si="111"/>
        <v>12</v>
      </c>
      <c r="Q639" s="84">
        <f t="shared" si="111"/>
        <v>3</v>
      </c>
      <c r="R639" s="84">
        <f t="shared" si="111"/>
        <v>9</v>
      </c>
      <c r="S639" s="84">
        <f t="shared" si="111"/>
        <v>20</v>
      </c>
      <c r="T639" s="84">
        <f t="shared" si="111"/>
        <v>0</v>
      </c>
      <c r="U639" s="84">
        <f t="shared" si="111"/>
        <v>0</v>
      </c>
      <c r="V639" s="84">
        <f t="shared" si="111"/>
        <v>0</v>
      </c>
      <c r="W639" s="84">
        <f t="shared" si="111"/>
        <v>98</v>
      </c>
      <c r="X639" s="84">
        <f t="shared" si="111"/>
        <v>25</v>
      </c>
      <c r="Y639" s="84">
        <f t="shared" si="111"/>
        <v>0</v>
      </c>
      <c r="Z639" s="84">
        <f t="shared" si="111"/>
        <v>0</v>
      </c>
      <c r="AA639" s="84">
        <f t="shared" si="111"/>
        <v>0</v>
      </c>
      <c r="AB639" s="84">
        <f t="shared" si="111"/>
        <v>0</v>
      </c>
      <c r="AC639" s="84">
        <f t="shared" si="111"/>
        <v>0</v>
      </c>
      <c r="AD639" s="88">
        <f t="shared" si="111"/>
        <v>0</v>
      </c>
      <c r="AE639" s="84">
        <f t="shared" si="111"/>
        <v>0</v>
      </c>
    </row>
    <row r="640" spans="1:31" ht="65.25" thickBot="1">
      <c r="A640" s="150" t="s">
        <v>145</v>
      </c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/>
      <c r="AC640" s="151"/>
      <c r="AD640" s="151"/>
      <c r="AE640" s="152"/>
    </row>
    <row r="641" spans="1:31" ht="129.75" thickBot="1">
      <c r="A641" s="92">
        <v>21.1</v>
      </c>
      <c r="B641" s="27" t="s">
        <v>172</v>
      </c>
      <c r="C641" s="83"/>
      <c r="D641" s="86"/>
      <c r="E641" s="83"/>
      <c r="F641" s="83"/>
      <c r="G641" s="83"/>
      <c r="H641" s="86"/>
      <c r="I641" s="86"/>
      <c r="J641" s="86"/>
      <c r="K641" s="86"/>
      <c r="L641" s="86"/>
      <c r="M641" s="86"/>
      <c r="N641" s="86"/>
      <c r="O641" s="87"/>
      <c r="P641" s="84"/>
      <c r="Q641" s="87"/>
      <c r="R641" s="84"/>
      <c r="S641" s="87"/>
      <c r="T641" s="84">
        <v>185</v>
      </c>
      <c r="U641" s="87"/>
      <c r="V641" s="84"/>
      <c r="W641" s="84"/>
      <c r="X641" s="87"/>
      <c r="Y641" s="84"/>
      <c r="Z641" s="84"/>
      <c r="AA641" s="87"/>
      <c r="AB641" s="84"/>
      <c r="AC641" s="87"/>
      <c r="AD641" s="88"/>
      <c r="AE641" s="83"/>
    </row>
    <row r="642" spans="1:31" ht="65.25" thickBot="1">
      <c r="A642" s="84">
        <v>74</v>
      </c>
      <c r="B642" s="22" t="s">
        <v>221</v>
      </c>
      <c r="C642" s="84"/>
      <c r="D642" s="86"/>
      <c r="E642" s="86">
        <v>20.6</v>
      </c>
      <c r="F642" s="86"/>
      <c r="G642" s="86">
        <v>5</v>
      </c>
      <c r="H642" s="86"/>
      <c r="I642" s="85"/>
      <c r="J642" s="85"/>
      <c r="K642" s="85"/>
      <c r="L642" s="85"/>
      <c r="M642" s="85"/>
      <c r="N642" s="85"/>
      <c r="O642" s="85"/>
      <c r="P642" s="85">
        <v>10</v>
      </c>
      <c r="Q642" s="85">
        <v>4</v>
      </c>
      <c r="R642" s="85">
        <v>1.2</v>
      </c>
      <c r="S642" s="85">
        <v>10</v>
      </c>
      <c r="T642" s="85">
        <v>10</v>
      </c>
      <c r="U642" s="85">
        <v>67</v>
      </c>
      <c r="V642" s="85"/>
      <c r="W642" s="85"/>
      <c r="X642" s="85"/>
      <c r="Y642" s="85"/>
      <c r="Z642" s="85"/>
      <c r="AA642" s="85"/>
      <c r="AB642" s="85"/>
      <c r="AC642" s="85"/>
      <c r="AD642" s="91"/>
      <c r="AE642" s="84"/>
    </row>
    <row r="643" spans="1:31" ht="65.25" thickBot="1">
      <c r="A643" s="84"/>
      <c r="B643" s="22" t="s">
        <v>29</v>
      </c>
      <c r="C643" s="84">
        <f aca="true" t="shared" si="112" ref="C643:AE643">C641+C642</f>
        <v>0</v>
      </c>
      <c r="D643" s="84">
        <f t="shared" si="112"/>
        <v>0</v>
      </c>
      <c r="E643" s="84">
        <f t="shared" si="112"/>
        <v>20.6</v>
      </c>
      <c r="F643" s="84">
        <f t="shared" si="112"/>
        <v>0</v>
      </c>
      <c r="G643" s="84">
        <f t="shared" si="112"/>
        <v>5</v>
      </c>
      <c r="H643" s="84">
        <f t="shared" si="112"/>
        <v>0</v>
      </c>
      <c r="I643" s="84">
        <f t="shared" si="112"/>
        <v>0</v>
      </c>
      <c r="J643" s="84">
        <f t="shared" si="112"/>
        <v>0</v>
      </c>
      <c r="K643" s="84">
        <f t="shared" si="112"/>
        <v>0</v>
      </c>
      <c r="L643" s="84">
        <f t="shared" si="112"/>
        <v>0</v>
      </c>
      <c r="M643" s="84">
        <f t="shared" si="112"/>
        <v>0</v>
      </c>
      <c r="N643" s="84">
        <f t="shared" si="112"/>
        <v>0</v>
      </c>
      <c r="O643" s="84">
        <f t="shared" si="112"/>
        <v>0</v>
      </c>
      <c r="P643" s="84">
        <f t="shared" si="112"/>
        <v>10</v>
      </c>
      <c r="Q643" s="84">
        <f t="shared" si="112"/>
        <v>4</v>
      </c>
      <c r="R643" s="84">
        <f t="shared" si="112"/>
        <v>1.2</v>
      </c>
      <c r="S643" s="84">
        <f t="shared" si="112"/>
        <v>10</v>
      </c>
      <c r="T643" s="84">
        <f t="shared" si="112"/>
        <v>195</v>
      </c>
      <c r="U643" s="84">
        <f t="shared" si="112"/>
        <v>67</v>
      </c>
      <c r="V643" s="84">
        <f t="shared" si="112"/>
        <v>0</v>
      </c>
      <c r="W643" s="84">
        <f t="shared" si="112"/>
        <v>0</v>
      </c>
      <c r="X643" s="84">
        <f t="shared" si="112"/>
        <v>0</v>
      </c>
      <c r="Y643" s="84">
        <f t="shared" si="112"/>
        <v>0</v>
      </c>
      <c r="Z643" s="84">
        <f t="shared" si="112"/>
        <v>0</v>
      </c>
      <c r="AA643" s="84">
        <f t="shared" si="112"/>
        <v>0</v>
      </c>
      <c r="AB643" s="84">
        <f t="shared" si="112"/>
        <v>0</v>
      </c>
      <c r="AC643" s="84">
        <f t="shared" si="112"/>
        <v>0</v>
      </c>
      <c r="AD643" s="84">
        <f t="shared" si="112"/>
        <v>0</v>
      </c>
      <c r="AE643" s="84">
        <f t="shared" si="112"/>
        <v>0</v>
      </c>
    </row>
    <row r="644" spans="1:31" ht="65.25" thickBot="1">
      <c r="A644" s="150" t="s">
        <v>144</v>
      </c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/>
      <c r="AC644" s="151"/>
      <c r="AD644" s="151"/>
      <c r="AE644" s="152"/>
    </row>
    <row r="645" spans="1:31" ht="258.75" thickBot="1">
      <c r="A645" s="84">
        <v>87.84</v>
      </c>
      <c r="B645" s="25" t="s">
        <v>273</v>
      </c>
      <c r="C645" s="84"/>
      <c r="D645" s="85"/>
      <c r="E645" s="85"/>
      <c r="F645" s="85"/>
      <c r="G645" s="85">
        <v>18</v>
      </c>
      <c r="H645" s="86"/>
      <c r="I645" s="86"/>
      <c r="J645" s="86"/>
      <c r="K645" s="86"/>
      <c r="L645" s="86"/>
      <c r="M645" s="86"/>
      <c r="N645" s="86"/>
      <c r="O645" s="87"/>
      <c r="P645" s="84">
        <v>5</v>
      </c>
      <c r="Q645" s="87">
        <v>2</v>
      </c>
      <c r="R645" s="84"/>
      <c r="S645" s="87"/>
      <c r="T645" s="84">
        <v>136</v>
      </c>
      <c r="U645" s="87"/>
      <c r="V645" s="84"/>
      <c r="W645" s="84"/>
      <c r="X645" s="84"/>
      <c r="Y645" s="87"/>
      <c r="Z645" s="84"/>
      <c r="AA645" s="84"/>
      <c r="AB645" s="84"/>
      <c r="AC645" s="87"/>
      <c r="AD645" s="88"/>
      <c r="AE645" s="84"/>
    </row>
    <row r="646" spans="1:31" ht="129.75" thickBot="1">
      <c r="A646" s="83" t="s">
        <v>32</v>
      </c>
      <c r="B646" s="22" t="s">
        <v>56</v>
      </c>
      <c r="C646" s="84">
        <v>25</v>
      </c>
      <c r="D646" s="86"/>
      <c r="E646" s="86"/>
      <c r="F646" s="86"/>
      <c r="G646" s="86"/>
      <c r="H646" s="86"/>
      <c r="I646" s="86"/>
      <c r="J646" s="86"/>
      <c r="K646" s="86"/>
      <c r="L646" s="86"/>
      <c r="M646" s="86"/>
      <c r="N646" s="86"/>
      <c r="O646" s="86"/>
      <c r="P646" s="86"/>
      <c r="Q646" s="86"/>
      <c r="R646" s="86"/>
      <c r="S646" s="86"/>
      <c r="T646" s="87"/>
      <c r="U646" s="83"/>
      <c r="V646" s="86"/>
      <c r="W646" s="87"/>
      <c r="X646" s="83"/>
      <c r="Y646" s="86"/>
      <c r="Z646" s="86"/>
      <c r="AA646" s="86"/>
      <c r="AB646" s="86"/>
      <c r="AC646" s="86"/>
      <c r="AD646" s="87"/>
      <c r="AE646" s="83"/>
    </row>
    <row r="647" spans="1:31" ht="65.25" thickBot="1">
      <c r="A647" s="83">
        <v>76</v>
      </c>
      <c r="B647" s="23" t="s">
        <v>171</v>
      </c>
      <c r="C647" s="84"/>
      <c r="D647" s="85"/>
      <c r="E647" s="85"/>
      <c r="F647" s="85"/>
      <c r="G647" s="85"/>
      <c r="H647" s="86"/>
      <c r="I647" s="86"/>
      <c r="J647" s="86"/>
      <c r="K647" s="86"/>
      <c r="L647" s="86"/>
      <c r="M647" s="86"/>
      <c r="N647" s="86"/>
      <c r="O647" s="87"/>
      <c r="P647" s="84">
        <v>10</v>
      </c>
      <c r="Q647" s="87"/>
      <c r="R647" s="84"/>
      <c r="S647" s="87"/>
      <c r="T647" s="84">
        <v>80</v>
      </c>
      <c r="U647" s="84"/>
      <c r="V647" s="87"/>
      <c r="W647" s="84"/>
      <c r="X647" s="87"/>
      <c r="Y647" s="84"/>
      <c r="Z647" s="84"/>
      <c r="AA647" s="87"/>
      <c r="AB647" s="84">
        <v>0.58</v>
      </c>
      <c r="AC647" s="84"/>
      <c r="AD647" s="87"/>
      <c r="AE647" s="83"/>
    </row>
    <row r="648" spans="1:31" ht="129.75" thickBot="1">
      <c r="A648" s="83">
        <v>69</v>
      </c>
      <c r="B648" s="22" t="s">
        <v>106</v>
      </c>
      <c r="C648" s="84"/>
      <c r="D648" s="86"/>
      <c r="E648" s="86"/>
      <c r="F648" s="86"/>
      <c r="G648" s="86"/>
      <c r="H648" s="86"/>
      <c r="I648" s="86"/>
      <c r="J648" s="86"/>
      <c r="K648" s="86"/>
      <c r="L648" s="86"/>
      <c r="M648" s="86">
        <v>85</v>
      </c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7"/>
      <c r="AE648" s="84"/>
    </row>
    <row r="649" spans="1:31" ht="65.25" thickBot="1">
      <c r="A649" s="80"/>
      <c r="B649" s="22" t="s">
        <v>6</v>
      </c>
      <c r="C649" s="84">
        <f aca="true" t="shared" si="113" ref="C649:AE649">SUM(C645:C648)</f>
        <v>25</v>
      </c>
      <c r="D649" s="84">
        <f t="shared" si="113"/>
        <v>0</v>
      </c>
      <c r="E649" s="84">
        <f t="shared" si="113"/>
        <v>0</v>
      </c>
      <c r="F649" s="84">
        <f t="shared" si="113"/>
        <v>0</v>
      </c>
      <c r="G649" s="84">
        <f t="shared" si="113"/>
        <v>18</v>
      </c>
      <c r="H649" s="84">
        <f t="shared" si="113"/>
        <v>0</v>
      </c>
      <c r="I649" s="84">
        <f t="shared" si="113"/>
        <v>0</v>
      </c>
      <c r="J649" s="84">
        <f t="shared" si="113"/>
        <v>0</v>
      </c>
      <c r="K649" s="84">
        <f t="shared" si="113"/>
        <v>0</v>
      </c>
      <c r="L649" s="84">
        <f t="shared" si="113"/>
        <v>0</v>
      </c>
      <c r="M649" s="84">
        <f t="shared" si="113"/>
        <v>85</v>
      </c>
      <c r="N649" s="84">
        <f t="shared" si="113"/>
        <v>0</v>
      </c>
      <c r="O649" s="84">
        <f t="shared" si="113"/>
        <v>0</v>
      </c>
      <c r="P649" s="84">
        <f t="shared" si="113"/>
        <v>15</v>
      </c>
      <c r="Q649" s="84">
        <f t="shared" si="113"/>
        <v>2</v>
      </c>
      <c r="R649" s="84">
        <f t="shared" si="113"/>
        <v>0</v>
      </c>
      <c r="S649" s="84">
        <f t="shared" si="113"/>
        <v>0</v>
      </c>
      <c r="T649" s="84">
        <f t="shared" si="113"/>
        <v>216</v>
      </c>
      <c r="U649" s="84">
        <f t="shared" si="113"/>
        <v>0</v>
      </c>
      <c r="V649" s="84">
        <f t="shared" si="113"/>
        <v>0</v>
      </c>
      <c r="W649" s="84">
        <f t="shared" si="113"/>
        <v>0</v>
      </c>
      <c r="X649" s="84">
        <f t="shared" si="113"/>
        <v>0</v>
      </c>
      <c r="Y649" s="84">
        <f t="shared" si="113"/>
        <v>0</v>
      </c>
      <c r="Z649" s="84">
        <f t="shared" si="113"/>
        <v>0</v>
      </c>
      <c r="AA649" s="84">
        <f t="shared" si="113"/>
        <v>0</v>
      </c>
      <c r="AB649" s="84">
        <f t="shared" si="113"/>
        <v>0.58</v>
      </c>
      <c r="AC649" s="84">
        <f t="shared" si="113"/>
        <v>0</v>
      </c>
      <c r="AD649" s="84">
        <f t="shared" si="113"/>
        <v>0</v>
      </c>
      <c r="AE649" s="84">
        <f t="shared" si="113"/>
        <v>0</v>
      </c>
    </row>
    <row r="650" spans="1:31" ht="194.25" thickBot="1">
      <c r="A650" s="145"/>
      <c r="B650" s="22" t="s">
        <v>150</v>
      </c>
      <c r="C650" s="84"/>
      <c r="D650" s="84"/>
      <c r="E650" s="84"/>
      <c r="F650" s="84"/>
      <c r="G650" s="84"/>
      <c r="H650" s="84"/>
      <c r="I650" s="84"/>
      <c r="J650" s="84"/>
      <c r="K650" s="84"/>
      <c r="L650" s="84"/>
      <c r="M650" s="84"/>
      <c r="N650" s="84"/>
      <c r="O650" s="84"/>
      <c r="P650" s="84"/>
      <c r="Q650" s="84"/>
      <c r="R650" s="84"/>
      <c r="S650" s="84"/>
      <c r="T650" s="84"/>
      <c r="U650" s="84"/>
      <c r="V650" s="84"/>
      <c r="W650" s="84"/>
      <c r="X650" s="84"/>
      <c r="Y650" s="84"/>
      <c r="Z650" s="84"/>
      <c r="AA650" s="84"/>
      <c r="AB650" s="84"/>
      <c r="AC650" s="84"/>
      <c r="AD650" s="88"/>
      <c r="AE650" s="84"/>
    </row>
    <row r="651" spans="1:31" ht="65.25" thickBot="1">
      <c r="A651" s="83"/>
      <c r="B651" s="93" t="s">
        <v>10</v>
      </c>
      <c r="C651" s="84">
        <f aca="true" t="shared" si="114" ref="C651:AE651">C628+C631+C639+C643+C649</f>
        <v>75</v>
      </c>
      <c r="D651" s="84">
        <f t="shared" si="114"/>
        <v>50</v>
      </c>
      <c r="E651" s="84">
        <f t="shared" si="114"/>
        <v>22.400000000000002</v>
      </c>
      <c r="F651" s="84">
        <f t="shared" si="114"/>
        <v>9.5</v>
      </c>
      <c r="G651" s="84">
        <f t="shared" si="114"/>
        <v>46</v>
      </c>
      <c r="H651" s="84">
        <f t="shared" si="114"/>
        <v>0</v>
      </c>
      <c r="I651" s="84">
        <f t="shared" si="114"/>
        <v>100</v>
      </c>
      <c r="J651" s="84">
        <f t="shared" si="114"/>
        <v>265.1</v>
      </c>
      <c r="K651" s="84">
        <f t="shared" si="114"/>
        <v>150</v>
      </c>
      <c r="L651" s="84">
        <f t="shared" si="114"/>
        <v>0</v>
      </c>
      <c r="M651" s="84">
        <f t="shared" si="114"/>
        <v>95</v>
      </c>
      <c r="N651" s="84">
        <f t="shared" si="114"/>
        <v>0</v>
      </c>
      <c r="O651" s="84">
        <f t="shared" si="114"/>
        <v>0</v>
      </c>
      <c r="P651" s="84">
        <f t="shared" si="114"/>
        <v>53</v>
      </c>
      <c r="Q651" s="84">
        <f t="shared" si="114"/>
        <v>11</v>
      </c>
      <c r="R651" s="84">
        <f t="shared" si="114"/>
        <v>10.2</v>
      </c>
      <c r="S651" s="84">
        <f t="shared" si="114"/>
        <v>30</v>
      </c>
      <c r="T651" s="84">
        <f t="shared" si="114"/>
        <v>648</v>
      </c>
      <c r="U651" s="84">
        <f t="shared" si="114"/>
        <v>67</v>
      </c>
      <c r="V651" s="84">
        <f t="shared" si="114"/>
        <v>0</v>
      </c>
      <c r="W651" s="84">
        <f t="shared" si="114"/>
        <v>98</v>
      </c>
      <c r="X651" s="84">
        <f t="shared" si="114"/>
        <v>25</v>
      </c>
      <c r="Y651" s="84">
        <f t="shared" si="114"/>
        <v>0</v>
      </c>
      <c r="Z651" s="84">
        <f t="shared" si="114"/>
        <v>0</v>
      </c>
      <c r="AA651" s="84">
        <f t="shared" si="114"/>
        <v>0</v>
      </c>
      <c r="AB651" s="84">
        <f t="shared" si="114"/>
        <v>0.58</v>
      </c>
      <c r="AC651" s="84">
        <f t="shared" si="114"/>
        <v>2.4</v>
      </c>
      <c r="AD651" s="84">
        <f t="shared" si="114"/>
        <v>0</v>
      </c>
      <c r="AE651" s="84">
        <f t="shared" si="114"/>
        <v>0</v>
      </c>
    </row>
    <row r="652" spans="1:31" ht="77.25" customHeight="1" thickBot="1">
      <c r="A652" s="150" t="s">
        <v>40</v>
      </c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/>
      <c r="AC652" s="151"/>
      <c r="AD652" s="151"/>
      <c r="AE652" s="152"/>
    </row>
    <row r="653" spans="1:31" ht="65.25" thickBot="1">
      <c r="A653" s="150" t="s">
        <v>95</v>
      </c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/>
      <c r="AC653" s="151"/>
      <c r="AD653" s="151"/>
      <c r="AE653" s="152"/>
    </row>
    <row r="654" spans="1:31" ht="46.5" customHeight="1">
      <c r="A654" s="166" t="s">
        <v>30</v>
      </c>
      <c r="B654" s="168" t="s">
        <v>23</v>
      </c>
      <c r="C654" s="153" t="s">
        <v>116</v>
      </c>
      <c r="D654" s="153" t="s">
        <v>117</v>
      </c>
      <c r="E654" s="153" t="s">
        <v>130</v>
      </c>
      <c r="F654" s="153" t="s">
        <v>119</v>
      </c>
      <c r="G654" s="153" t="s">
        <v>131</v>
      </c>
      <c r="H654" s="153" t="s">
        <v>132</v>
      </c>
      <c r="I654" s="153" t="s">
        <v>110</v>
      </c>
      <c r="J654" s="153" t="s">
        <v>257</v>
      </c>
      <c r="K654" s="140"/>
      <c r="L654" s="140"/>
      <c r="M654" s="153" t="s">
        <v>142</v>
      </c>
      <c r="N654" s="153" t="s">
        <v>79</v>
      </c>
      <c r="O654" s="153" t="s">
        <v>139</v>
      </c>
      <c r="P654" s="153" t="s">
        <v>80</v>
      </c>
      <c r="Q654" s="153" t="s">
        <v>124</v>
      </c>
      <c r="R654" s="153" t="s">
        <v>81</v>
      </c>
      <c r="S654" s="153" t="s">
        <v>134</v>
      </c>
      <c r="T654" s="153" t="s">
        <v>135</v>
      </c>
      <c r="U654" s="153" t="s">
        <v>136</v>
      </c>
      <c r="V654" s="140"/>
      <c r="W654" s="153" t="s">
        <v>113</v>
      </c>
      <c r="X654" s="153" t="s">
        <v>129</v>
      </c>
      <c r="Y654" s="153" t="s">
        <v>84</v>
      </c>
      <c r="Z654" s="153" t="s">
        <v>82</v>
      </c>
      <c r="AA654" s="153" t="s">
        <v>83</v>
      </c>
      <c r="AB654" s="153" t="s">
        <v>85</v>
      </c>
      <c r="AC654" s="140"/>
      <c r="AD654" s="158" t="s">
        <v>78</v>
      </c>
      <c r="AE654" s="153" t="s">
        <v>137</v>
      </c>
    </row>
    <row r="655" spans="1:31" ht="409.5" thickBot="1">
      <c r="A655" s="167"/>
      <c r="B655" s="169"/>
      <c r="C655" s="154"/>
      <c r="D655" s="154"/>
      <c r="E655" s="154"/>
      <c r="F655" s="154"/>
      <c r="G655" s="154"/>
      <c r="H655" s="154"/>
      <c r="I655" s="154"/>
      <c r="J655" s="154"/>
      <c r="K655" s="141" t="s">
        <v>133</v>
      </c>
      <c r="L655" s="141" t="s">
        <v>143</v>
      </c>
      <c r="M655" s="154"/>
      <c r="N655" s="154"/>
      <c r="O655" s="154"/>
      <c r="P655" s="154"/>
      <c r="Q655" s="154"/>
      <c r="R655" s="154"/>
      <c r="S655" s="154"/>
      <c r="T655" s="154"/>
      <c r="U655" s="154"/>
      <c r="V655" s="141" t="s">
        <v>140</v>
      </c>
      <c r="W655" s="154"/>
      <c r="X655" s="154"/>
      <c r="Y655" s="154"/>
      <c r="Z655" s="154"/>
      <c r="AA655" s="154"/>
      <c r="AB655" s="154"/>
      <c r="AC655" s="141" t="s">
        <v>77</v>
      </c>
      <c r="AD655" s="159"/>
      <c r="AE655" s="154"/>
    </row>
    <row r="656" spans="1:31" ht="65.25" thickBot="1">
      <c r="A656" s="145">
        <v>1</v>
      </c>
      <c r="B656" s="79">
        <v>2</v>
      </c>
      <c r="C656" s="80" t="s">
        <v>54</v>
      </c>
      <c r="D656" s="81">
        <v>4</v>
      </c>
      <c r="E656" s="80">
        <v>5</v>
      </c>
      <c r="F656" s="80">
        <v>6</v>
      </c>
      <c r="G656" s="80">
        <v>7</v>
      </c>
      <c r="H656" s="80">
        <v>8</v>
      </c>
      <c r="I656" s="80" t="s">
        <v>55</v>
      </c>
      <c r="J656" s="81">
        <v>10</v>
      </c>
      <c r="K656" s="80">
        <v>11</v>
      </c>
      <c r="L656" s="108">
        <v>12</v>
      </c>
      <c r="M656" s="80">
        <v>13</v>
      </c>
      <c r="N656" s="80">
        <v>14</v>
      </c>
      <c r="O656" s="80">
        <v>15</v>
      </c>
      <c r="P656" s="80">
        <v>16</v>
      </c>
      <c r="Q656" s="143">
        <v>17</v>
      </c>
      <c r="R656" s="80">
        <v>18</v>
      </c>
      <c r="S656" s="143">
        <v>19</v>
      </c>
      <c r="T656" s="80">
        <v>20</v>
      </c>
      <c r="U656" s="143">
        <v>21</v>
      </c>
      <c r="V656" s="143">
        <v>22</v>
      </c>
      <c r="W656" s="80">
        <v>23</v>
      </c>
      <c r="X656" s="80">
        <v>24</v>
      </c>
      <c r="Y656" s="143">
        <v>25</v>
      </c>
      <c r="Z656" s="80">
        <v>26</v>
      </c>
      <c r="AA656" s="80">
        <v>27</v>
      </c>
      <c r="AB656" s="80">
        <v>28</v>
      </c>
      <c r="AC656" s="143">
        <v>29</v>
      </c>
      <c r="AD656" s="142">
        <v>30</v>
      </c>
      <c r="AE656" s="80">
        <v>32</v>
      </c>
    </row>
    <row r="657" spans="1:31" ht="65.25" thickBot="1">
      <c r="A657" s="150" t="s">
        <v>5</v>
      </c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/>
      <c r="AC657" s="151"/>
      <c r="AD657" s="151"/>
      <c r="AE657" s="152"/>
    </row>
    <row r="658" spans="1:31" ht="129.75" thickBot="1">
      <c r="A658" s="84">
        <v>23</v>
      </c>
      <c r="B658" s="25" t="s">
        <v>162</v>
      </c>
      <c r="C658" s="84"/>
      <c r="D658" s="85"/>
      <c r="E658" s="85"/>
      <c r="F658" s="85"/>
      <c r="G658" s="85">
        <v>23</v>
      </c>
      <c r="H658" s="86"/>
      <c r="I658" s="86"/>
      <c r="J658" s="86"/>
      <c r="K658" s="86"/>
      <c r="L658" s="86"/>
      <c r="M658" s="86"/>
      <c r="N658" s="86"/>
      <c r="O658" s="87"/>
      <c r="P658" s="84">
        <v>5</v>
      </c>
      <c r="Q658" s="87">
        <v>2</v>
      </c>
      <c r="R658" s="84"/>
      <c r="S658" s="87"/>
      <c r="T658" s="84">
        <v>136</v>
      </c>
      <c r="U658" s="87"/>
      <c r="V658" s="84"/>
      <c r="W658" s="84"/>
      <c r="X658" s="84"/>
      <c r="Y658" s="87"/>
      <c r="Z658" s="84"/>
      <c r="AA658" s="84"/>
      <c r="AB658" s="84"/>
      <c r="AC658" s="87"/>
      <c r="AD658" s="88"/>
      <c r="AE658" s="84"/>
    </row>
    <row r="659" spans="1:31" ht="134.25" customHeight="1" thickBot="1">
      <c r="A659" s="83">
        <v>15</v>
      </c>
      <c r="B659" s="22" t="s">
        <v>224</v>
      </c>
      <c r="C659" s="84"/>
      <c r="D659" s="85"/>
      <c r="E659" s="85"/>
      <c r="F659" s="85"/>
      <c r="G659" s="85"/>
      <c r="H659" s="86"/>
      <c r="I659" s="86"/>
      <c r="J659" s="86"/>
      <c r="K659" s="86"/>
      <c r="L659" s="86"/>
      <c r="M659" s="86"/>
      <c r="N659" s="86"/>
      <c r="O659" s="87"/>
      <c r="P659" s="84">
        <v>11</v>
      </c>
      <c r="Q659" s="87"/>
      <c r="R659" s="84"/>
      <c r="S659" s="87"/>
      <c r="T659" s="84">
        <v>100</v>
      </c>
      <c r="U659" s="87"/>
      <c r="V659" s="83"/>
      <c r="W659" s="84"/>
      <c r="X659" s="83"/>
      <c r="Y659" s="87"/>
      <c r="Z659" s="84"/>
      <c r="AA659" s="84"/>
      <c r="AB659" s="87"/>
      <c r="AC659" s="83"/>
      <c r="AD659" s="88">
        <v>1.3</v>
      </c>
      <c r="AE659" s="84"/>
    </row>
    <row r="660" spans="1:31" ht="65.25" thickBot="1">
      <c r="A660" s="83">
        <v>16</v>
      </c>
      <c r="B660" s="22" t="s">
        <v>36</v>
      </c>
      <c r="C660" s="86">
        <v>25</v>
      </c>
      <c r="D660" s="85"/>
      <c r="E660" s="85"/>
      <c r="F660" s="85"/>
      <c r="G660" s="85"/>
      <c r="H660" s="86"/>
      <c r="I660" s="86"/>
      <c r="J660" s="86"/>
      <c r="K660" s="86"/>
      <c r="L660" s="86"/>
      <c r="M660" s="86"/>
      <c r="N660" s="86"/>
      <c r="O660" s="87"/>
      <c r="P660" s="84"/>
      <c r="Q660" s="84">
        <v>5</v>
      </c>
      <c r="R660" s="84"/>
      <c r="S660" s="87"/>
      <c r="T660" s="84"/>
      <c r="U660" s="87"/>
      <c r="V660" s="83"/>
      <c r="W660" s="84"/>
      <c r="X660" s="83"/>
      <c r="Y660" s="87"/>
      <c r="Z660" s="84"/>
      <c r="AA660" s="84"/>
      <c r="AB660" s="87"/>
      <c r="AC660" s="83"/>
      <c r="AD660" s="88"/>
      <c r="AE660" s="84"/>
    </row>
    <row r="661" spans="1:31" ht="65.25" thickBot="1">
      <c r="A661" s="83"/>
      <c r="B661" s="22" t="s">
        <v>6</v>
      </c>
      <c r="C661" s="84">
        <f>SUM(C658:C660)</f>
        <v>25</v>
      </c>
      <c r="D661" s="84">
        <f aca="true" t="shared" si="115" ref="D661:AE661">SUM(D658:D660)</f>
        <v>0</v>
      </c>
      <c r="E661" s="84">
        <f t="shared" si="115"/>
        <v>0</v>
      </c>
      <c r="F661" s="84">
        <f t="shared" si="115"/>
        <v>0</v>
      </c>
      <c r="G661" s="84">
        <f t="shared" si="115"/>
        <v>23</v>
      </c>
      <c r="H661" s="84">
        <f t="shared" si="115"/>
        <v>0</v>
      </c>
      <c r="I661" s="84">
        <f t="shared" si="115"/>
        <v>0</v>
      </c>
      <c r="J661" s="84">
        <f t="shared" si="115"/>
        <v>0</v>
      </c>
      <c r="K661" s="84">
        <f t="shared" si="115"/>
        <v>0</v>
      </c>
      <c r="L661" s="84">
        <f t="shared" si="115"/>
        <v>0</v>
      </c>
      <c r="M661" s="84">
        <f t="shared" si="115"/>
        <v>0</v>
      </c>
      <c r="N661" s="84">
        <f t="shared" si="115"/>
        <v>0</v>
      </c>
      <c r="O661" s="84">
        <f t="shared" si="115"/>
        <v>0</v>
      </c>
      <c r="P661" s="84">
        <f t="shared" si="115"/>
        <v>16</v>
      </c>
      <c r="Q661" s="84">
        <f t="shared" si="115"/>
        <v>7</v>
      </c>
      <c r="R661" s="84">
        <f t="shared" si="115"/>
        <v>0</v>
      </c>
      <c r="S661" s="84">
        <f t="shared" si="115"/>
        <v>0</v>
      </c>
      <c r="T661" s="84">
        <f t="shared" si="115"/>
        <v>236</v>
      </c>
      <c r="U661" s="84">
        <f t="shared" si="115"/>
        <v>0</v>
      </c>
      <c r="V661" s="84">
        <f t="shared" si="115"/>
        <v>0</v>
      </c>
      <c r="W661" s="84">
        <f t="shared" si="115"/>
        <v>0</v>
      </c>
      <c r="X661" s="84">
        <f t="shared" si="115"/>
        <v>0</v>
      </c>
      <c r="Y661" s="84">
        <f t="shared" si="115"/>
        <v>0</v>
      </c>
      <c r="Z661" s="84">
        <f t="shared" si="115"/>
        <v>0</v>
      </c>
      <c r="AA661" s="84">
        <f t="shared" si="115"/>
        <v>0</v>
      </c>
      <c r="AB661" s="84">
        <f t="shared" si="115"/>
        <v>0</v>
      </c>
      <c r="AC661" s="84">
        <f t="shared" si="115"/>
        <v>0</v>
      </c>
      <c r="AD661" s="88">
        <f t="shared" si="115"/>
        <v>1.3</v>
      </c>
      <c r="AE661" s="84">
        <f t="shared" si="115"/>
        <v>0</v>
      </c>
    </row>
    <row r="662" spans="1:31" ht="65.25" thickBot="1">
      <c r="A662" s="155" t="s">
        <v>53</v>
      </c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  <c r="AA662" s="156"/>
      <c r="AB662" s="156"/>
      <c r="AC662" s="156"/>
      <c r="AD662" s="156"/>
      <c r="AE662" s="157"/>
    </row>
    <row r="663" spans="1:31" ht="65.25" thickBot="1">
      <c r="A663" s="83" t="s">
        <v>32</v>
      </c>
      <c r="B663" s="25" t="s">
        <v>182</v>
      </c>
      <c r="C663" s="84"/>
      <c r="D663" s="86"/>
      <c r="E663" s="86"/>
      <c r="F663" s="86"/>
      <c r="G663" s="86"/>
      <c r="H663" s="86"/>
      <c r="I663" s="86"/>
      <c r="J663" s="86"/>
      <c r="K663" s="86">
        <v>150</v>
      </c>
      <c r="L663" s="86"/>
      <c r="M663" s="86"/>
      <c r="N663" s="86"/>
      <c r="O663" s="87"/>
      <c r="P663" s="84"/>
      <c r="Q663" s="87"/>
      <c r="R663" s="84"/>
      <c r="S663" s="87"/>
      <c r="T663" s="84"/>
      <c r="U663" s="87"/>
      <c r="V663" s="84"/>
      <c r="W663" s="84"/>
      <c r="X663" s="87"/>
      <c r="Y663" s="84"/>
      <c r="Z663" s="84"/>
      <c r="AA663" s="87"/>
      <c r="AB663" s="84"/>
      <c r="AC663" s="87"/>
      <c r="AD663" s="88"/>
      <c r="AE663" s="83"/>
    </row>
    <row r="664" spans="1:31" ht="65.25" thickBot="1">
      <c r="A664" s="83"/>
      <c r="B664" s="22" t="s">
        <v>29</v>
      </c>
      <c r="C664" s="86">
        <f>SUM(C663)</f>
        <v>0</v>
      </c>
      <c r="D664" s="86">
        <f>SUM(D663)</f>
        <v>0</v>
      </c>
      <c r="E664" s="86">
        <f aca="true" t="shared" si="116" ref="E664:AD664">SUM(E663)</f>
        <v>0</v>
      </c>
      <c r="F664" s="86">
        <f t="shared" si="116"/>
        <v>0</v>
      </c>
      <c r="G664" s="86">
        <f t="shared" si="116"/>
        <v>0</v>
      </c>
      <c r="H664" s="86">
        <f t="shared" si="116"/>
        <v>0</v>
      </c>
      <c r="I664" s="86">
        <f t="shared" si="116"/>
        <v>0</v>
      </c>
      <c r="J664" s="86">
        <f t="shared" si="116"/>
        <v>0</v>
      </c>
      <c r="K664" s="86">
        <f t="shared" si="116"/>
        <v>150</v>
      </c>
      <c r="L664" s="86">
        <f t="shared" si="116"/>
        <v>0</v>
      </c>
      <c r="M664" s="86">
        <f t="shared" si="116"/>
        <v>0</v>
      </c>
      <c r="N664" s="86">
        <f t="shared" si="116"/>
        <v>0</v>
      </c>
      <c r="O664" s="86">
        <f t="shared" si="116"/>
        <v>0</v>
      </c>
      <c r="P664" s="86">
        <f t="shared" si="116"/>
        <v>0</v>
      </c>
      <c r="Q664" s="86">
        <f t="shared" si="116"/>
        <v>0</v>
      </c>
      <c r="R664" s="86">
        <f t="shared" si="116"/>
        <v>0</v>
      </c>
      <c r="S664" s="86">
        <f t="shared" si="116"/>
        <v>0</v>
      </c>
      <c r="T664" s="86">
        <f t="shared" si="116"/>
        <v>0</v>
      </c>
      <c r="U664" s="86">
        <f t="shared" si="116"/>
        <v>0</v>
      </c>
      <c r="V664" s="86">
        <f t="shared" si="116"/>
        <v>0</v>
      </c>
      <c r="W664" s="86">
        <f t="shared" si="116"/>
        <v>0</v>
      </c>
      <c r="X664" s="86">
        <f t="shared" si="116"/>
        <v>0</v>
      </c>
      <c r="Y664" s="86">
        <f t="shared" si="116"/>
        <v>0</v>
      </c>
      <c r="Z664" s="86">
        <f t="shared" si="116"/>
        <v>0</v>
      </c>
      <c r="AA664" s="86">
        <f t="shared" si="116"/>
        <v>0</v>
      </c>
      <c r="AB664" s="86">
        <f t="shared" si="116"/>
        <v>0</v>
      </c>
      <c r="AC664" s="86">
        <f t="shared" si="116"/>
        <v>0</v>
      </c>
      <c r="AD664" s="87">
        <f t="shared" si="116"/>
        <v>0</v>
      </c>
      <c r="AE664" s="83">
        <f>SUM(AE663)</f>
        <v>0</v>
      </c>
    </row>
    <row r="665" spans="1:31" ht="65.25" thickBot="1">
      <c r="A665" s="150" t="s">
        <v>8</v>
      </c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/>
      <c r="AC665" s="151"/>
      <c r="AD665" s="151"/>
      <c r="AE665" s="152"/>
    </row>
    <row r="666" spans="1:31" ht="65.25" thickBot="1">
      <c r="A666" s="84">
        <v>56</v>
      </c>
      <c r="B666" s="22" t="s">
        <v>228</v>
      </c>
      <c r="C666" s="84"/>
      <c r="D666" s="86"/>
      <c r="E666" s="86"/>
      <c r="F666" s="86"/>
      <c r="G666" s="86"/>
      <c r="H666" s="86"/>
      <c r="I666" s="86"/>
      <c r="J666" s="86">
        <v>56.5</v>
      </c>
      <c r="K666" s="86"/>
      <c r="L666" s="86"/>
      <c r="M666" s="86"/>
      <c r="N666" s="86"/>
      <c r="O666" s="87"/>
      <c r="P666" s="83"/>
      <c r="Q666" s="87"/>
      <c r="R666" s="83">
        <v>5</v>
      </c>
      <c r="S666" s="87"/>
      <c r="T666" s="83"/>
      <c r="U666" s="87"/>
      <c r="V666" s="84"/>
      <c r="W666" s="83"/>
      <c r="X666" s="87"/>
      <c r="Y666" s="84"/>
      <c r="Z666" s="83"/>
      <c r="AA666" s="87"/>
      <c r="AB666" s="83"/>
      <c r="AC666" s="84"/>
      <c r="AD666" s="87"/>
      <c r="AE666" s="80"/>
    </row>
    <row r="667" spans="1:31" ht="194.25" thickBot="1">
      <c r="A667" s="83">
        <v>77</v>
      </c>
      <c r="B667" s="22" t="s">
        <v>169</v>
      </c>
      <c r="C667" s="84"/>
      <c r="D667" s="86"/>
      <c r="E667" s="86"/>
      <c r="F667" s="86"/>
      <c r="G667" s="86">
        <v>8</v>
      </c>
      <c r="H667" s="86"/>
      <c r="I667" s="86">
        <v>20</v>
      </c>
      <c r="J667" s="86">
        <v>44</v>
      </c>
      <c r="K667" s="86"/>
      <c r="L667" s="86"/>
      <c r="M667" s="86"/>
      <c r="N667" s="83"/>
      <c r="O667" s="87"/>
      <c r="P667" s="83"/>
      <c r="Q667" s="87">
        <v>3</v>
      </c>
      <c r="R667" s="83"/>
      <c r="S667" s="87"/>
      <c r="T667" s="83"/>
      <c r="U667" s="87"/>
      <c r="V667" s="83"/>
      <c r="W667" s="87">
        <v>13</v>
      </c>
      <c r="X667" s="83"/>
      <c r="Y667" s="84"/>
      <c r="Z667" s="84">
        <v>8</v>
      </c>
      <c r="AA667" s="83"/>
      <c r="AB667" s="87"/>
      <c r="AC667" s="83"/>
      <c r="AD667" s="90"/>
      <c r="AE667" s="83"/>
    </row>
    <row r="668" spans="1:31" ht="129.75" thickBot="1">
      <c r="A668" s="94">
        <v>6</v>
      </c>
      <c r="B668" s="75" t="s">
        <v>74</v>
      </c>
      <c r="C668" s="95">
        <v>12</v>
      </c>
      <c r="D668" s="96"/>
      <c r="E668" s="96"/>
      <c r="F668" s="96"/>
      <c r="G668" s="96"/>
      <c r="H668" s="96"/>
      <c r="I668" s="96"/>
      <c r="J668" s="96">
        <v>5</v>
      </c>
      <c r="K668" s="96"/>
      <c r="L668" s="96"/>
      <c r="M668" s="96"/>
      <c r="N668" s="96"/>
      <c r="O668" s="94"/>
      <c r="P668" s="97"/>
      <c r="Q668" s="94"/>
      <c r="R668" s="97">
        <v>4</v>
      </c>
      <c r="S668" s="94">
        <v>4</v>
      </c>
      <c r="T668" s="97">
        <v>12</v>
      </c>
      <c r="U668" s="98"/>
      <c r="V668" s="121"/>
      <c r="W668" s="95">
        <v>41</v>
      </c>
      <c r="X668" s="97"/>
      <c r="Y668" s="95"/>
      <c r="Z668" s="97"/>
      <c r="AA668" s="94"/>
      <c r="AB668" s="94"/>
      <c r="AC668" s="97"/>
      <c r="AD668" s="98"/>
      <c r="AE668" s="94"/>
    </row>
    <row r="669" spans="1:31" ht="65.25" thickBot="1">
      <c r="A669" s="83">
        <v>90</v>
      </c>
      <c r="B669" s="22" t="s">
        <v>73</v>
      </c>
      <c r="C669" s="84"/>
      <c r="D669" s="86"/>
      <c r="E669" s="86"/>
      <c r="F669" s="86"/>
      <c r="G669" s="86"/>
      <c r="H669" s="86"/>
      <c r="I669" s="86">
        <v>60</v>
      </c>
      <c r="J669" s="86">
        <v>53</v>
      </c>
      <c r="K669" s="86"/>
      <c r="L669" s="86"/>
      <c r="M669" s="86"/>
      <c r="N669" s="86"/>
      <c r="O669" s="83"/>
      <c r="P669" s="87"/>
      <c r="Q669" s="83"/>
      <c r="R669" s="87">
        <v>4</v>
      </c>
      <c r="S669" s="83"/>
      <c r="T669" s="87"/>
      <c r="U669" s="90"/>
      <c r="V669" s="83"/>
      <c r="W669" s="83"/>
      <c r="X669" s="87"/>
      <c r="Y669" s="83"/>
      <c r="Z669" s="87"/>
      <c r="AA669" s="83"/>
      <c r="AB669" s="83"/>
      <c r="AC669" s="87"/>
      <c r="AD669" s="90"/>
      <c r="AE669" s="83"/>
    </row>
    <row r="670" spans="1:31" ht="129.75" thickBot="1">
      <c r="A670" s="84">
        <v>54</v>
      </c>
      <c r="B670" s="23" t="s">
        <v>153</v>
      </c>
      <c r="C670" s="84"/>
      <c r="D670" s="85"/>
      <c r="E670" s="85"/>
      <c r="F670" s="85"/>
      <c r="G670" s="85"/>
      <c r="H670" s="86"/>
      <c r="I670" s="86"/>
      <c r="J670" s="86"/>
      <c r="K670" s="86"/>
      <c r="L670" s="86"/>
      <c r="M670" s="86">
        <v>40</v>
      </c>
      <c r="N670" s="86"/>
      <c r="O670" s="87"/>
      <c r="P670" s="83">
        <v>13</v>
      </c>
      <c r="Q670" s="87"/>
      <c r="R670" s="84"/>
      <c r="S670" s="87"/>
      <c r="T670" s="84"/>
      <c r="U670" s="84"/>
      <c r="V670" s="87"/>
      <c r="W670" s="84"/>
      <c r="X670" s="87"/>
      <c r="Y670" s="84"/>
      <c r="Z670" s="84"/>
      <c r="AA670" s="87"/>
      <c r="AB670" s="84"/>
      <c r="AC670" s="84"/>
      <c r="AD670" s="87"/>
      <c r="AE670" s="84"/>
    </row>
    <row r="671" spans="1:31" ht="129.75" thickBot="1">
      <c r="A671" s="83" t="s">
        <v>32</v>
      </c>
      <c r="B671" s="22" t="s">
        <v>56</v>
      </c>
      <c r="C671" s="84">
        <v>25</v>
      </c>
      <c r="D671" s="86"/>
      <c r="E671" s="86"/>
      <c r="F671" s="86"/>
      <c r="G671" s="86"/>
      <c r="H671" s="86"/>
      <c r="I671" s="86"/>
      <c r="J671" s="86"/>
      <c r="K671" s="86"/>
      <c r="L671" s="86"/>
      <c r="M671" s="86"/>
      <c r="N671" s="86"/>
      <c r="O671" s="86"/>
      <c r="P671" s="86"/>
      <c r="Q671" s="86"/>
      <c r="R671" s="86"/>
      <c r="S671" s="86"/>
      <c r="T671" s="86"/>
      <c r="U671" s="87"/>
      <c r="V671" s="83"/>
      <c r="W671" s="86"/>
      <c r="X671" s="87"/>
      <c r="Y671" s="83"/>
      <c r="Z671" s="86"/>
      <c r="AA671" s="86"/>
      <c r="AB671" s="86"/>
      <c r="AC671" s="86"/>
      <c r="AD671" s="87"/>
      <c r="AE671" s="83"/>
    </row>
    <row r="672" spans="1:31" ht="129.75" thickBot="1">
      <c r="A672" s="83" t="s">
        <v>32</v>
      </c>
      <c r="B672" s="22" t="s">
        <v>58</v>
      </c>
      <c r="C672" s="84"/>
      <c r="D672" s="86">
        <v>50</v>
      </c>
      <c r="E672" s="86"/>
      <c r="F672" s="86"/>
      <c r="G672" s="86"/>
      <c r="H672" s="86"/>
      <c r="I672" s="85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  <c r="U672" s="85"/>
      <c r="V672" s="85"/>
      <c r="W672" s="85"/>
      <c r="X672" s="85"/>
      <c r="Y672" s="85"/>
      <c r="Z672" s="85"/>
      <c r="AA672" s="85"/>
      <c r="AB672" s="85"/>
      <c r="AC672" s="85"/>
      <c r="AD672" s="91"/>
      <c r="AE672" s="83"/>
    </row>
    <row r="673" spans="1:31" ht="65.25" thickBot="1">
      <c r="A673" s="84"/>
      <c r="B673" s="25" t="s">
        <v>29</v>
      </c>
      <c r="C673" s="84">
        <f aca="true" t="shared" si="117" ref="C673:AE673">SUM(C666:C672)</f>
        <v>37</v>
      </c>
      <c r="D673" s="84">
        <f t="shared" si="117"/>
        <v>50</v>
      </c>
      <c r="E673" s="84">
        <f t="shared" si="117"/>
        <v>0</v>
      </c>
      <c r="F673" s="84">
        <f t="shared" si="117"/>
        <v>0</v>
      </c>
      <c r="G673" s="84">
        <f t="shared" si="117"/>
        <v>8</v>
      </c>
      <c r="H673" s="84">
        <f t="shared" si="117"/>
        <v>0</v>
      </c>
      <c r="I673" s="84">
        <f t="shared" si="117"/>
        <v>80</v>
      </c>
      <c r="J673" s="84">
        <f t="shared" si="117"/>
        <v>158.5</v>
      </c>
      <c r="K673" s="84">
        <f t="shared" si="117"/>
        <v>0</v>
      </c>
      <c r="L673" s="84">
        <f t="shared" si="117"/>
        <v>0</v>
      </c>
      <c r="M673" s="84">
        <f t="shared" si="117"/>
        <v>40</v>
      </c>
      <c r="N673" s="84">
        <f t="shared" si="117"/>
        <v>0</v>
      </c>
      <c r="O673" s="84">
        <f t="shared" si="117"/>
        <v>0</v>
      </c>
      <c r="P673" s="84">
        <f t="shared" si="117"/>
        <v>13</v>
      </c>
      <c r="Q673" s="84">
        <f t="shared" si="117"/>
        <v>3</v>
      </c>
      <c r="R673" s="84">
        <f t="shared" si="117"/>
        <v>13</v>
      </c>
      <c r="S673" s="84">
        <f t="shared" si="117"/>
        <v>4</v>
      </c>
      <c r="T673" s="84">
        <f t="shared" si="117"/>
        <v>12</v>
      </c>
      <c r="U673" s="84">
        <f t="shared" si="117"/>
        <v>0</v>
      </c>
      <c r="V673" s="84">
        <f t="shared" si="117"/>
        <v>0</v>
      </c>
      <c r="W673" s="84">
        <f t="shared" si="117"/>
        <v>54</v>
      </c>
      <c r="X673" s="84">
        <f t="shared" si="117"/>
        <v>0</v>
      </c>
      <c r="Y673" s="84">
        <f t="shared" si="117"/>
        <v>0</v>
      </c>
      <c r="Z673" s="84">
        <f t="shared" si="117"/>
        <v>8</v>
      </c>
      <c r="AA673" s="84">
        <f t="shared" si="117"/>
        <v>0</v>
      </c>
      <c r="AB673" s="84">
        <f t="shared" si="117"/>
        <v>0</v>
      </c>
      <c r="AC673" s="84">
        <f t="shared" si="117"/>
        <v>0</v>
      </c>
      <c r="AD673" s="88">
        <f t="shared" si="117"/>
        <v>0</v>
      </c>
      <c r="AE673" s="84">
        <f t="shared" si="117"/>
        <v>0</v>
      </c>
    </row>
    <row r="674" spans="1:31" ht="65.25" thickBot="1">
      <c r="A674" s="150" t="s">
        <v>145</v>
      </c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/>
      <c r="AC674" s="151"/>
      <c r="AD674" s="151"/>
      <c r="AE674" s="152"/>
    </row>
    <row r="675" spans="1:31" ht="129.75" thickBot="1">
      <c r="A675" s="92">
        <v>21.1</v>
      </c>
      <c r="B675" s="27" t="s">
        <v>172</v>
      </c>
      <c r="C675" s="83"/>
      <c r="D675" s="86"/>
      <c r="E675" s="83"/>
      <c r="F675" s="83"/>
      <c r="G675" s="83"/>
      <c r="H675" s="86"/>
      <c r="I675" s="86"/>
      <c r="J675" s="86"/>
      <c r="K675" s="86"/>
      <c r="L675" s="86"/>
      <c r="M675" s="86"/>
      <c r="N675" s="86"/>
      <c r="O675" s="87"/>
      <c r="P675" s="84"/>
      <c r="Q675" s="87"/>
      <c r="R675" s="84"/>
      <c r="S675" s="87"/>
      <c r="T675" s="84">
        <v>185</v>
      </c>
      <c r="U675" s="87"/>
      <c r="V675" s="84"/>
      <c r="W675" s="84"/>
      <c r="X675" s="87"/>
      <c r="Y675" s="84"/>
      <c r="Z675" s="84"/>
      <c r="AA675" s="87"/>
      <c r="AB675" s="84"/>
      <c r="AC675" s="87"/>
      <c r="AD675" s="88"/>
      <c r="AE675" s="83"/>
    </row>
    <row r="676" spans="1:31" ht="65.25" thickBot="1">
      <c r="A676" s="83">
        <v>22</v>
      </c>
      <c r="B676" s="22" t="s">
        <v>222</v>
      </c>
      <c r="C676" s="86"/>
      <c r="D676" s="86"/>
      <c r="E676" s="86">
        <v>44</v>
      </c>
      <c r="F676" s="86"/>
      <c r="G676" s="86"/>
      <c r="H676" s="86"/>
      <c r="I676" s="86"/>
      <c r="J676" s="86"/>
      <c r="K676" s="86"/>
      <c r="L676" s="86"/>
      <c r="M676" s="86"/>
      <c r="N676" s="86"/>
      <c r="O676" s="83"/>
      <c r="P676" s="87">
        <v>4.7</v>
      </c>
      <c r="Q676" s="84">
        <v>3</v>
      </c>
      <c r="R676" s="87">
        <v>1</v>
      </c>
      <c r="S676" s="83">
        <v>2.8</v>
      </c>
      <c r="T676" s="87">
        <v>24</v>
      </c>
      <c r="U676" s="90"/>
      <c r="V676" s="83"/>
      <c r="W676" s="84"/>
      <c r="X676" s="87"/>
      <c r="Y676" s="83"/>
      <c r="Z676" s="87">
        <v>14</v>
      </c>
      <c r="AA676" s="83"/>
      <c r="AB676" s="87"/>
      <c r="AC676" s="83"/>
      <c r="AD676" s="87"/>
      <c r="AE676" s="84">
        <v>1.5</v>
      </c>
    </row>
    <row r="677" spans="1:31" ht="65.25" thickBot="1">
      <c r="A677" s="84"/>
      <c r="B677" s="22" t="s">
        <v>29</v>
      </c>
      <c r="C677" s="84">
        <f aca="true" t="shared" si="118" ref="C677:AE677">C675+C676</f>
        <v>0</v>
      </c>
      <c r="D677" s="84">
        <f t="shared" si="118"/>
        <v>0</v>
      </c>
      <c r="E677" s="84">
        <f t="shared" si="118"/>
        <v>44</v>
      </c>
      <c r="F677" s="84">
        <f t="shared" si="118"/>
        <v>0</v>
      </c>
      <c r="G677" s="84">
        <f t="shared" si="118"/>
        <v>0</v>
      </c>
      <c r="H677" s="84">
        <f t="shared" si="118"/>
        <v>0</v>
      </c>
      <c r="I677" s="84">
        <f t="shared" si="118"/>
        <v>0</v>
      </c>
      <c r="J677" s="84">
        <f t="shared" si="118"/>
        <v>0</v>
      </c>
      <c r="K677" s="84">
        <f t="shared" si="118"/>
        <v>0</v>
      </c>
      <c r="L677" s="84">
        <f t="shared" si="118"/>
        <v>0</v>
      </c>
      <c r="M677" s="84">
        <f t="shared" si="118"/>
        <v>0</v>
      </c>
      <c r="N677" s="84">
        <f t="shared" si="118"/>
        <v>0</v>
      </c>
      <c r="O677" s="84">
        <f t="shared" si="118"/>
        <v>0</v>
      </c>
      <c r="P677" s="84">
        <f t="shared" si="118"/>
        <v>4.7</v>
      </c>
      <c r="Q677" s="84">
        <f t="shared" si="118"/>
        <v>3</v>
      </c>
      <c r="R677" s="84">
        <f t="shared" si="118"/>
        <v>1</v>
      </c>
      <c r="S677" s="84">
        <f t="shared" si="118"/>
        <v>2.8</v>
      </c>
      <c r="T677" s="84">
        <f t="shared" si="118"/>
        <v>209</v>
      </c>
      <c r="U677" s="84">
        <f t="shared" si="118"/>
        <v>0</v>
      </c>
      <c r="V677" s="84">
        <f t="shared" si="118"/>
        <v>0</v>
      </c>
      <c r="W677" s="84">
        <f t="shared" si="118"/>
        <v>0</v>
      </c>
      <c r="X677" s="84">
        <f t="shared" si="118"/>
        <v>0</v>
      </c>
      <c r="Y677" s="84">
        <f t="shared" si="118"/>
        <v>0</v>
      </c>
      <c r="Z677" s="84">
        <f t="shared" si="118"/>
        <v>14</v>
      </c>
      <c r="AA677" s="84">
        <f t="shared" si="118"/>
        <v>0</v>
      </c>
      <c r="AB677" s="84">
        <f t="shared" si="118"/>
        <v>0</v>
      </c>
      <c r="AC677" s="84">
        <f t="shared" si="118"/>
        <v>0</v>
      </c>
      <c r="AD677" s="84">
        <f t="shared" si="118"/>
        <v>0</v>
      </c>
      <c r="AE677" s="84">
        <f t="shared" si="118"/>
        <v>1.5</v>
      </c>
    </row>
    <row r="678" spans="1:31" ht="65.25" thickBot="1">
      <c r="A678" s="150" t="s">
        <v>144</v>
      </c>
      <c r="B678" s="151"/>
      <c r="C678" s="151"/>
      <c r="D678" s="151"/>
      <c r="E678" s="151"/>
      <c r="F678" s="151"/>
      <c r="G678" s="151"/>
      <c r="H678" s="151"/>
      <c r="I678" s="151"/>
      <c r="J678" s="151"/>
      <c r="K678" s="151"/>
      <c r="L678" s="151"/>
      <c r="M678" s="151"/>
      <c r="N678" s="151"/>
      <c r="O678" s="151"/>
      <c r="P678" s="151"/>
      <c r="Q678" s="151"/>
      <c r="R678" s="151"/>
      <c r="S678" s="151"/>
      <c r="T678" s="151"/>
      <c r="U678" s="151"/>
      <c r="V678" s="151"/>
      <c r="W678" s="151"/>
      <c r="X678" s="151"/>
      <c r="Y678" s="151"/>
      <c r="Z678" s="151"/>
      <c r="AA678" s="151"/>
      <c r="AB678" s="151"/>
      <c r="AC678" s="151"/>
      <c r="AD678" s="151"/>
      <c r="AE678" s="152"/>
    </row>
    <row r="679" spans="1:31" ht="194.25" thickBot="1">
      <c r="A679" s="84">
        <v>94</v>
      </c>
      <c r="B679" s="22" t="s">
        <v>223</v>
      </c>
      <c r="C679" s="95"/>
      <c r="D679" s="96"/>
      <c r="E679" s="96"/>
      <c r="F679" s="96"/>
      <c r="G679" s="96">
        <v>15</v>
      </c>
      <c r="H679" s="96"/>
      <c r="I679" s="106"/>
      <c r="J679" s="106"/>
      <c r="K679" s="106"/>
      <c r="L679" s="106"/>
      <c r="M679" s="106">
        <v>19</v>
      </c>
      <c r="N679" s="106"/>
      <c r="O679" s="106"/>
      <c r="P679" s="106">
        <v>15</v>
      </c>
      <c r="Q679" s="106">
        <v>5</v>
      </c>
      <c r="R679" s="106"/>
      <c r="S679" s="106">
        <v>18</v>
      </c>
      <c r="T679" s="106">
        <v>35</v>
      </c>
      <c r="U679" s="106">
        <v>152</v>
      </c>
      <c r="V679" s="106"/>
      <c r="W679" s="106"/>
      <c r="X679" s="106"/>
      <c r="Y679" s="106"/>
      <c r="Z679" s="106"/>
      <c r="AA679" s="106"/>
      <c r="AB679" s="106"/>
      <c r="AC679" s="106"/>
      <c r="AD679" s="107"/>
      <c r="AE679" s="95"/>
    </row>
    <row r="680" spans="1:31" ht="65.25" thickBot="1">
      <c r="A680" s="84">
        <v>13</v>
      </c>
      <c r="B680" s="23" t="s">
        <v>7</v>
      </c>
      <c r="C680" s="84"/>
      <c r="D680" s="85"/>
      <c r="E680" s="85"/>
      <c r="F680" s="85"/>
      <c r="G680" s="85"/>
      <c r="H680" s="86"/>
      <c r="I680" s="86"/>
      <c r="J680" s="86"/>
      <c r="K680" s="86"/>
      <c r="L680" s="86"/>
      <c r="M680" s="86"/>
      <c r="N680" s="86"/>
      <c r="O680" s="87"/>
      <c r="P680" s="84">
        <v>12</v>
      </c>
      <c r="Q680" s="87"/>
      <c r="R680" s="84"/>
      <c r="S680" s="87"/>
      <c r="T680" s="84"/>
      <c r="U680" s="84"/>
      <c r="V680" s="87"/>
      <c r="W680" s="84"/>
      <c r="X680" s="87"/>
      <c r="Y680" s="84"/>
      <c r="Z680" s="84"/>
      <c r="AA680" s="87"/>
      <c r="AB680" s="84">
        <v>0.58</v>
      </c>
      <c r="AC680" s="84"/>
      <c r="AD680" s="87"/>
      <c r="AE680" s="83"/>
    </row>
    <row r="681" spans="1:31" ht="129.75" thickBot="1">
      <c r="A681" s="83">
        <v>69</v>
      </c>
      <c r="B681" s="22" t="s">
        <v>106</v>
      </c>
      <c r="C681" s="84"/>
      <c r="D681" s="86"/>
      <c r="E681" s="86"/>
      <c r="F681" s="86"/>
      <c r="G681" s="86"/>
      <c r="H681" s="86"/>
      <c r="I681" s="86"/>
      <c r="J681" s="86"/>
      <c r="K681" s="86"/>
      <c r="L681" s="86"/>
      <c r="M681" s="86">
        <v>85</v>
      </c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7"/>
      <c r="AE681" s="84"/>
    </row>
    <row r="682" spans="1:31" ht="65.25" thickBot="1">
      <c r="A682" s="80"/>
      <c r="B682" s="22" t="s">
        <v>6</v>
      </c>
      <c r="C682" s="84">
        <f aca="true" t="shared" si="119" ref="C682:AE682">SUM(C679:C681)</f>
        <v>0</v>
      </c>
      <c r="D682" s="84">
        <f t="shared" si="119"/>
        <v>0</v>
      </c>
      <c r="E682" s="84">
        <f t="shared" si="119"/>
        <v>0</v>
      </c>
      <c r="F682" s="84">
        <f t="shared" si="119"/>
        <v>0</v>
      </c>
      <c r="G682" s="84">
        <f t="shared" si="119"/>
        <v>15</v>
      </c>
      <c r="H682" s="84">
        <f t="shared" si="119"/>
        <v>0</v>
      </c>
      <c r="I682" s="84">
        <f t="shared" si="119"/>
        <v>0</v>
      </c>
      <c r="J682" s="84">
        <f t="shared" si="119"/>
        <v>0</v>
      </c>
      <c r="K682" s="84">
        <f t="shared" si="119"/>
        <v>0</v>
      </c>
      <c r="L682" s="84">
        <f t="shared" si="119"/>
        <v>0</v>
      </c>
      <c r="M682" s="84">
        <f t="shared" si="119"/>
        <v>104</v>
      </c>
      <c r="N682" s="84">
        <f t="shared" si="119"/>
        <v>0</v>
      </c>
      <c r="O682" s="84">
        <f t="shared" si="119"/>
        <v>0</v>
      </c>
      <c r="P682" s="84">
        <f t="shared" si="119"/>
        <v>27</v>
      </c>
      <c r="Q682" s="84">
        <f t="shared" si="119"/>
        <v>5</v>
      </c>
      <c r="R682" s="84">
        <f t="shared" si="119"/>
        <v>0</v>
      </c>
      <c r="S682" s="84">
        <f t="shared" si="119"/>
        <v>18</v>
      </c>
      <c r="T682" s="84">
        <f t="shared" si="119"/>
        <v>35</v>
      </c>
      <c r="U682" s="84">
        <f t="shared" si="119"/>
        <v>152</v>
      </c>
      <c r="V682" s="84">
        <f t="shared" si="119"/>
        <v>0</v>
      </c>
      <c r="W682" s="84">
        <f t="shared" si="119"/>
        <v>0</v>
      </c>
      <c r="X682" s="84">
        <f t="shared" si="119"/>
        <v>0</v>
      </c>
      <c r="Y682" s="84">
        <f t="shared" si="119"/>
        <v>0</v>
      </c>
      <c r="Z682" s="84">
        <f t="shared" si="119"/>
        <v>0</v>
      </c>
      <c r="AA682" s="84">
        <f t="shared" si="119"/>
        <v>0</v>
      </c>
      <c r="AB682" s="84">
        <f t="shared" si="119"/>
        <v>0.58</v>
      </c>
      <c r="AC682" s="84">
        <f t="shared" si="119"/>
        <v>0</v>
      </c>
      <c r="AD682" s="84">
        <f t="shared" si="119"/>
        <v>0</v>
      </c>
      <c r="AE682" s="84">
        <f t="shared" si="119"/>
        <v>0</v>
      </c>
    </row>
    <row r="683" spans="1:31" ht="195.75" customHeight="1" thickBot="1">
      <c r="A683" s="145"/>
      <c r="B683" s="22" t="s">
        <v>150</v>
      </c>
      <c r="C683" s="84"/>
      <c r="D683" s="84"/>
      <c r="E683" s="84"/>
      <c r="F683" s="84"/>
      <c r="G683" s="84"/>
      <c r="H683" s="84"/>
      <c r="I683" s="84"/>
      <c r="J683" s="84"/>
      <c r="K683" s="84"/>
      <c r="L683" s="84"/>
      <c r="M683" s="84"/>
      <c r="N683" s="84"/>
      <c r="O683" s="84"/>
      <c r="P683" s="84"/>
      <c r="Q683" s="84"/>
      <c r="R683" s="84"/>
      <c r="S683" s="84"/>
      <c r="T683" s="84"/>
      <c r="U683" s="84"/>
      <c r="V683" s="84"/>
      <c r="W683" s="84"/>
      <c r="X683" s="84"/>
      <c r="Y683" s="84"/>
      <c r="Z683" s="84"/>
      <c r="AA683" s="84"/>
      <c r="AB683" s="84"/>
      <c r="AC683" s="84"/>
      <c r="AD683" s="88"/>
      <c r="AE683" s="84"/>
    </row>
    <row r="684" spans="1:31" ht="65.25" thickBot="1">
      <c r="A684" s="83"/>
      <c r="B684" s="93" t="s">
        <v>10</v>
      </c>
      <c r="C684" s="84">
        <f aca="true" t="shared" si="120" ref="C684:AE684">C661+C664+C673+C677+C682</f>
        <v>62</v>
      </c>
      <c r="D684" s="84">
        <f t="shared" si="120"/>
        <v>50</v>
      </c>
      <c r="E684" s="84">
        <f t="shared" si="120"/>
        <v>44</v>
      </c>
      <c r="F684" s="84">
        <f t="shared" si="120"/>
        <v>0</v>
      </c>
      <c r="G684" s="84">
        <f t="shared" si="120"/>
        <v>46</v>
      </c>
      <c r="H684" s="84">
        <f t="shared" si="120"/>
        <v>0</v>
      </c>
      <c r="I684" s="84">
        <f t="shared" si="120"/>
        <v>80</v>
      </c>
      <c r="J684" s="84">
        <f t="shared" si="120"/>
        <v>158.5</v>
      </c>
      <c r="K684" s="84">
        <f t="shared" si="120"/>
        <v>150</v>
      </c>
      <c r="L684" s="84">
        <f t="shared" si="120"/>
        <v>0</v>
      </c>
      <c r="M684" s="84">
        <f t="shared" si="120"/>
        <v>144</v>
      </c>
      <c r="N684" s="84">
        <f t="shared" si="120"/>
        <v>0</v>
      </c>
      <c r="O684" s="84">
        <f t="shared" si="120"/>
        <v>0</v>
      </c>
      <c r="P684" s="84">
        <f t="shared" si="120"/>
        <v>60.7</v>
      </c>
      <c r="Q684" s="84">
        <f t="shared" si="120"/>
        <v>18</v>
      </c>
      <c r="R684" s="84">
        <f t="shared" si="120"/>
        <v>14</v>
      </c>
      <c r="S684" s="84">
        <f t="shared" si="120"/>
        <v>24.8</v>
      </c>
      <c r="T684" s="84">
        <f t="shared" si="120"/>
        <v>492</v>
      </c>
      <c r="U684" s="84">
        <f t="shared" si="120"/>
        <v>152</v>
      </c>
      <c r="V684" s="84">
        <f t="shared" si="120"/>
        <v>0</v>
      </c>
      <c r="W684" s="84">
        <f t="shared" si="120"/>
        <v>54</v>
      </c>
      <c r="X684" s="84">
        <f t="shared" si="120"/>
        <v>0</v>
      </c>
      <c r="Y684" s="84">
        <f t="shared" si="120"/>
        <v>0</v>
      </c>
      <c r="Z684" s="84">
        <f t="shared" si="120"/>
        <v>22</v>
      </c>
      <c r="AA684" s="84">
        <f t="shared" si="120"/>
        <v>0</v>
      </c>
      <c r="AB684" s="84">
        <f t="shared" si="120"/>
        <v>0.58</v>
      </c>
      <c r="AC684" s="84">
        <f t="shared" si="120"/>
        <v>0</v>
      </c>
      <c r="AD684" s="84">
        <f t="shared" si="120"/>
        <v>1.3</v>
      </c>
      <c r="AE684" s="84">
        <f t="shared" si="120"/>
        <v>1.5</v>
      </c>
    </row>
    <row r="685" spans="1:31" ht="46.5" customHeight="1">
      <c r="A685" s="160"/>
      <c r="B685" s="161"/>
      <c r="C685" s="153" t="s">
        <v>116</v>
      </c>
      <c r="D685" s="153" t="s">
        <v>117</v>
      </c>
      <c r="E685" s="153" t="s">
        <v>130</v>
      </c>
      <c r="F685" s="153" t="s">
        <v>119</v>
      </c>
      <c r="G685" s="153" t="s">
        <v>131</v>
      </c>
      <c r="H685" s="153" t="s">
        <v>132</v>
      </c>
      <c r="I685" s="153" t="s">
        <v>110</v>
      </c>
      <c r="J685" s="153" t="s">
        <v>257</v>
      </c>
      <c r="K685" s="140"/>
      <c r="L685" s="140"/>
      <c r="M685" s="153" t="s">
        <v>142</v>
      </c>
      <c r="N685" s="153" t="s">
        <v>79</v>
      </c>
      <c r="O685" s="153" t="s">
        <v>139</v>
      </c>
      <c r="P685" s="153" t="s">
        <v>80</v>
      </c>
      <c r="Q685" s="153" t="s">
        <v>124</v>
      </c>
      <c r="R685" s="153" t="s">
        <v>81</v>
      </c>
      <c r="S685" s="153" t="s">
        <v>134</v>
      </c>
      <c r="T685" s="153" t="s">
        <v>135</v>
      </c>
      <c r="U685" s="153" t="s">
        <v>136</v>
      </c>
      <c r="V685" s="140"/>
      <c r="W685" s="153" t="s">
        <v>113</v>
      </c>
      <c r="X685" s="153" t="s">
        <v>129</v>
      </c>
      <c r="Y685" s="153" t="s">
        <v>84</v>
      </c>
      <c r="Z685" s="153" t="s">
        <v>82</v>
      </c>
      <c r="AA685" s="153" t="s">
        <v>83</v>
      </c>
      <c r="AB685" s="153" t="s">
        <v>85</v>
      </c>
      <c r="AC685" s="140"/>
      <c r="AD685" s="158" t="s">
        <v>78</v>
      </c>
      <c r="AE685" s="153" t="s">
        <v>137</v>
      </c>
    </row>
    <row r="686" spans="1:31" ht="409.5" thickBot="1">
      <c r="A686" s="162"/>
      <c r="B686" s="163"/>
      <c r="C686" s="154"/>
      <c r="D686" s="154"/>
      <c r="E686" s="154"/>
      <c r="F686" s="154"/>
      <c r="G686" s="154"/>
      <c r="H686" s="154"/>
      <c r="I686" s="154"/>
      <c r="J686" s="154"/>
      <c r="K686" s="141" t="s">
        <v>133</v>
      </c>
      <c r="L686" s="141" t="s">
        <v>143</v>
      </c>
      <c r="M686" s="154"/>
      <c r="N686" s="154"/>
      <c r="O686" s="154"/>
      <c r="P686" s="154"/>
      <c r="Q686" s="154"/>
      <c r="R686" s="154"/>
      <c r="S686" s="154"/>
      <c r="T686" s="154"/>
      <c r="U686" s="154"/>
      <c r="V686" s="141" t="s">
        <v>140</v>
      </c>
      <c r="W686" s="154"/>
      <c r="X686" s="154"/>
      <c r="Y686" s="154"/>
      <c r="Z686" s="154"/>
      <c r="AA686" s="154"/>
      <c r="AB686" s="154"/>
      <c r="AC686" s="141" t="s">
        <v>77</v>
      </c>
      <c r="AD686" s="159"/>
      <c r="AE686" s="154"/>
    </row>
    <row r="687" spans="1:31" ht="65.25" thickBot="1">
      <c r="A687" s="155">
        <v>1</v>
      </c>
      <c r="B687" s="157"/>
      <c r="C687" s="80" t="s">
        <v>45</v>
      </c>
      <c r="D687" s="81">
        <v>3</v>
      </c>
      <c r="E687" s="80">
        <v>4</v>
      </c>
      <c r="F687" s="80">
        <v>5</v>
      </c>
      <c r="G687" s="80">
        <v>6</v>
      </c>
      <c r="H687" s="80">
        <v>7</v>
      </c>
      <c r="I687" s="80" t="s">
        <v>44</v>
      </c>
      <c r="J687" s="80">
        <v>9</v>
      </c>
      <c r="K687" s="108">
        <v>10</v>
      </c>
      <c r="L687" s="80">
        <v>11</v>
      </c>
      <c r="M687" s="80">
        <v>12</v>
      </c>
      <c r="N687" s="80">
        <v>13</v>
      </c>
      <c r="O687" s="80">
        <v>14</v>
      </c>
      <c r="P687" s="80">
        <v>15</v>
      </c>
      <c r="Q687" s="143">
        <v>16</v>
      </c>
      <c r="R687" s="80">
        <v>17</v>
      </c>
      <c r="S687" s="143">
        <v>18</v>
      </c>
      <c r="T687" s="80">
        <v>19</v>
      </c>
      <c r="U687" s="143">
        <v>20</v>
      </c>
      <c r="V687" s="80">
        <v>21</v>
      </c>
      <c r="W687" s="80">
        <v>22</v>
      </c>
      <c r="X687" s="80">
        <v>23</v>
      </c>
      <c r="Y687" s="143">
        <v>24</v>
      </c>
      <c r="Z687" s="80">
        <v>25</v>
      </c>
      <c r="AA687" s="143">
        <v>26</v>
      </c>
      <c r="AB687" s="80">
        <v>27</v>
      </c>
      <c r="AC687" s="80">
        <v>28</v>
      </c>
      <c r="AD687" s="80">
        <v>29</v>
      </c>
      <c r="AE687" s="144">
        <v>31</v>
      </c>
    </row>
    <row r="688" spans="1:31" ht="65.25" thickBot="1">
      <c r="A688" s="164" t="s">
        <v>98</v>
      </c>
      <c r="B688" s="165"/>
      <c r="C688" s="84">
        <f aca="true" t="shared" si="121" ref="C688:AE688">C37+C72+C108+C142+C174+C209+C243+C276+C309+C343+C377+C412+C444+C479+C512+C546+C581+C618+C651+C684</f>
        <v>1548</v>
      </c>
      <c r="D688" s="84">
        <f t="shared" si="121"/>
        <v>1000</v>
      </c>
      <c r="E688" s="84">
        <f t="shared" si="121"/>
        <v>570.0999999999999</v>
      </c>
      <c r="F688" s="84">
        <f t="shared" si="121"/>
        <v>57</v>
      </c>
      <c r="G688" s="84">
        <f t="shared" si="121"/>
        <v>818</v>
      </c>
      <c r="H688" s="84">
        <f t="shared" si="121"/>
        <v>244</v>
      </c>
      <c r="I688" s="84">
        <f t="shared" si="121"/>
        <v>2906</v>
      </c>
      <c r="J688" s="84">
        <f t="shared" si="121"/>
        <v>4336.5</v>
      </c>
      <c r="K688" s="84">
        <f t="shared" si="121"/>
        <v>3000</v>
      </c>
      <c r="L688" s="84">
        <f t="shared" si="121"/>
        <v>0</v>
      </c>
      <c r="M688" s="84">
        <f t="shared" si="121"/>
        <v>1940.3</v>
      </c>
      <c r="N688" s="84">
        <f t="shared" si="121"/>
        <v>212</v>
      </c>
      <c r="O688" s="84">
        <f t="shared" si="121"/>
        <v>400</v>
      </c>
      <c r="P688" s="84">
        <f t="shared" si="121"/>
        <v>988.7</v>
      </c>
      <c r="Q688" s="84">
        <f t="shared" si="121"/>
        <v>399</v>
      </c>
      <c r="R688" s="84">
        <f t="shared" si="121"/>
        <v>229.09999999999997</v>
      </c>
      <c r="S688" s="84">
        <f t="shared" si="121"/>
        <v>456.40000000000003</v>
      </c>
      <c r="T688" s="84">
        <f t="shared" si="121"/>
        <v>9336</v>
      </c>
      <c r="U688" s="84">
        <f t="shared" si="121"/>
        <v>768</v>
      </c>
      <c r="V688" s="84">
        <f t="shared" si="121"/>
        <v>0</v>
      </c>
      <c r="W688" s="84">
        <f t="shared" si="121"/>
        <v>1244</v>
      </c>
      <c r="X688" s="84">
        <f t="shared" si="121"/>
        <v>475</v>
      </c>
      <c r="Y688" s="84">
        <f t="shared" si="121"/>
        <v>778</v>
      </c>
      <c r="Z688" s="84">
        <f t="shared" si="121"/>
        <v>210</v>
      </c>
      <c r="AA688" s="84">
        <f t="shared" si="121"/>
        <v>123</v>
      </c>
      <c r="AB688" s="84">
        <f t="shared" si="121"/>
        <v>12.18</v>
      </c>
      <c r="AC688" s="84">
        <f t="shared" si="121"/>
        <v>23.999999999999996</v>
      </c>
      <c r="AD688" s="84">
        <f t="shared" si="121"/>
        <v>11.700000000000001</v>
      </c>
      <c r="AE688" s="84">
        <f t="shared" si="121"/>
        <v>10.5</v>
      </c>
    </row>
    <row r="689" spans="1:31" ht="65.25" thickBot="1">
      <c r="A689" s="164" t="s">
        <v>99</v>
      </c>
      <c r="B689" s="165"/>
      <c r="C689" s="109">
        <f>C688/20</f>
        <v>77.4</v>
      </c>
      <c r="D689" s="109">
        <f aca="true" t="shared" si="122" ref="D689:Q689">D688/20</f>
        <v>50</v>
      </c>
      <c r="E689" s="109">
        <f t="shared" si="122"/>
        <v>28.504999999999995</v>
      </c>
      <c r="F689" s="109">
        <f t="shared" si="122"/>
        <v>2.85</v>
      </c>
      <c r="G689" s="109">
        <f t="shared" si="122"/>
        <v>40.9</v>
      </c>
      <c r="H689" s="109">
        <f t="shared" si="122"/>
        <v>12.2</v>
      </c>
      <c r="I689" s="109">
        <f t="shared" si="122"/>
        <v>145.3</v>
      </c>
      <c r="J689" s="109">
        <f t="shared" si="122"/>
        <v>216.825</v>
      </c>
      <c r="K689" s="109">
        <f t="shared" si="122"/>
        <v>150</v>
      </c>
      <c r="L689" s="109">
        <f t="shared" si="122"/>
        <v>0</v>
      </c>
      <c r="M689" s="109">
        <f t="shared" si="122"/>
        <v>97.015</v>
      </c>
      <c r="N689" s="109">
        <f t="shared" si="122"/>
        <v>10.6</v>
      </c>
      <c r="O689" s="109">
        <f t="shared" si="122"/>
        <v>20</v>
      </c>
      <c r="P689" s="109">
        <f t="shared" si="122"/>
        <v>49.435</v>
      </c>
      <c r="Q689" s="109">
        <f t="shared" si="122"/>
        <v>19.95</v>
      </c>
      <c r="R689" s="109">
        <f aca="true" t="shared" si="123" ref="R689:AE689">R688/20</f>
        <v>11.454999999999998</v>
      </c>
      <c r="S689" s="109">
        <f t="shared" si="123"/>
        <v>22.82</v>
      </c>
      <c r="T689" s="109">
        <f t="shared" si="123"/>
        <v>466.8</v>
      </c>
      <c r="U689" s="109">
        <f t="shared" si="123"/>
        <v>38.4</v>
      </c>
      <c r="V689" s="109">
        <f t="shared" si="123"/>
        <v>0</v>
      </c>
      <c r="W689" s="109">
        <f t="shared" si="123"/>
        <v>62.2</v>
      </c>
      <c r="X689" s="109">
        <f t="shared" si="123"/>
        <v>23.75</v>
      </c>
      <c r="Y689" s="109">
        <f t="shared" si="123"/>
        <v>38.9</v>
      </c>
      <c r="Z689" s="109">
        <f t="shared" si="123"/>
        <v>10.5</v>
      </c>
      <c r="AA689" s="109">
        <f t="shared" si="123"/>
        <v>6.15</v>
      </c>
      <c r="AB689" s="109">
        <f t="shared" si="123"/>
        <v>0.609</v>
      </c>
      <c r="AC689" s="109">
        <f t="shared" si="123"/>
        <v>1.1999999999999997</v>
      </c>
      <c r="AD689" s="109">
        <f t="shared" si="123"/>
        <v>0.5850000000000001</v>
      </c>
      <c r="AE689" s="109">
        <f t="shared" si="123"/>
        <v>0.525</v>
      </c>
    </row>
    <row r="690" spans="1:32" ht="200.25" customHeight="1" thickBot="1">
      <c r="A690" s="164" t="s">
        <v>47</v>
      </c>
      <c r="B690" s="165"/>
      <c r="C690" s="110">
        <v>80</v>
      </c>
      <c r="D690" s="111">
        <v>50</v>
      </c>
      <c r="E690" s="111">
        <v>29</v>
      </c>
      <c r="F690" s="111">
        <v>3</v>
      </c>
      <c r="G690" s="111">
        <v>43</v>
      </c>
      <c r="H690" s="112">
        <v>12</v>
      </c>
      <c r="I690" s="112">
        <v>140</v>
      </c>
      <c r="J690" s="112">
        <v>221</v>
      </c>
      <c r="K690" s="113">
        <v>150</v>
      </c>
      <c r="L690" s="122">
        <v>0</v>
      </c>
      <c r="M690" s="123">
        <v>100</v>
      </c>
      <c r="N690" s="112">
        <v>11</v>
      </c>
      <c r="O690" s="112">
        <v>20</v>
      </c>
      <c r="P690" s="112">
        <v>47</v>
      </c>
      <c r="Q690" s="112">
        <v>21</v>
      </c>
      <c r="R690" s="112">
        <v>11</v>
      </c>
      <c r="S690" s="112">
        <v>24</v>
      </c>
      <c r="T690" s="112">
        <v>450</v>
      </c>
      <c r="U690" s="113">
        <v>40</v>
      </c>
      <c r="V690" s="110">
        <v>0</v>
      </c>
      <c r="W690" s="113">
        <v>62</v>
      </c>
      <c r="X690" s="110">
        <v>24</v>
      </c>
      <c r="Y690" s="112">
        <v>37</v>
      </c>
      <c r="Z690" s="112">
        <v>11</v>
      </c>
      <c r="AA690" s="112">
        <v>6.4</v>
      </c>
      <c r="AB690" s="112">
        <v>0.6</v>
      </c>
      <c r="AC690" s="112">
        <v>1.2</v>
      </c>
      <c r="AD690" s="112">
        <v>0.6</v>
      </c>
      <c r="AE690" s="112">
        <v>0.5</v>
      </c>
      <c r="AF690" s="106"/>
    </row>
    <row r="691" spans="1:31" ht="164.25" customHeight="1" thickBot="1">
      <c r="A691" s="164" t="s">
        <v>63</v>
      </c>
      <c r="B691" s="165"/>
      <c r="C691" s="109">
        <f>C689*100/C690</f>
        <v>96.75000000000001</v>
      </c>
      <c r="D691" s="109">
        <f aca="true" t="shared" si="124" ref="D691:AE691">D689*100/D690</f>
        <v>100</v>
      </c>
      <c r="E691" s="109">
        <f t="shared" si="124"/>
        <v>98.29310344827584</v>
      </c>
      <c r="F691" s="109">
        <f t="shared" si="124"/>
        <v>95</v>
      </c>
      <c r="G691" s="109">
        <f t="shared" si="124"/>
        <v>95.11627906976744</v>
      </c>
      <c r="H691" s="109">
        <f t="shared" si="124"/>
        <v>101.66666666666667</v>
      </c>
      <c r="I691" s="109">
        <f t="shared" si="124"/>
        <v>103.78571428571429</v>
      </c>
      <c r="J691" s="109">
        <f t="shared" si="124"/>
        <v>98.11085972850678</v>
      </c>
      <c r="K691" s="109">
        <f t="shared" si="124"/>
        <v>100</v>
      </c>
      <c r="L691" s="109">
        <v>0</v>
      </c>
      <c r="M691" s="109">
        <f t="shared" si="124"/>
        <v>97.015</v>
      </c>
      <c r="N691" s="109">
        <f t="shared" si="124"/>
        <v>96.36363636363636</v>
      </c>
      <c r="O691" s="109">
        <f t="shared" si="124"/>
        <v>100</v>
      </c>
      <c r="P691" s="109">
        <f t="shared" si="124"/>
        <v>105.18085106382979</v>
      </c>
      <c r="Q691" s="109">
        <f t="shared" si="124"/>
        <v>95</v>
      </c>
      <c r="R691" s="109">
        <f t="shared" si="124"/>
        <v>104.13636363636361</v>
      </c>
      <c r="S691" s="109">
        <f t="shared" si="124"/>
        <v>95.08333333333333</v>
      </c>
      <c r="T691" s="109">
        <f t="shared" si="124"/>
        <v>103.73333333333333</v>
      </c>
      <c r="U691" s="109">
        <f t="shared" si="124"/>
        <v>96</v>
      </c>
      <c r="V691" s="109">
        <v>0</v>
      </c>
      <c r="W691" s="109">
        <f t="shared" si="124"/>
        <v>100.3225806451613</v>
      </c>
      <c r="X691" s="109">
        <f t="shared" si="124"/>
        <v>98.95833333333333</v>
      </c>
      <c r="Y691" s="109">
        <f t="shared" si="124"/>
        <v>105.13513513513513</v>
      </c>
      <c r="Z691" s="109">
        <f t="shared" si="124"/>
        <v>95.45454545454545</v>
      </c>
      <c r="AA691" s="109">
        <f t="shared" si="124"/>
        <v>96.09375</v>
      </c>
      <c r="AB691" s="109">
        <f t="shared" si="124"/>
        <v>101.5</v>
      </c>
      <c r="AC691" s="109">
        <f t="shared" si="124"/>
        <v>99.99999999999999</v>
      </c>
      <c r="AD691" s="109">
        <f t="shared" si="124"/>
        <v>97.50000000000001</v>
      </c>
      <c r="AE691" s="109">
        <f t="shared" si="124"/>
        <v>105</v>
      </c>
    </row>
    <row r="692" spans="1:31" ht="221.25" customHeight="1" thickBot="1">
      <c r="A692" s="164" t="s">
        <v>97</v>
      </c>
      <c r="B692" s="165"/>
      <c r="C692" s="115">
        <f>C691-100</f>
        <v>-3.249999999999986</v>
      </c>
      <c r="D692" s="115">
        <f aca="true" t="shared" si="125" ref="D692:AE692">D691-100</f>
        <v>0</v>
      </c>
      <c r="E692" s="115">
        <f t="shared" si="125"/>
        <v>-1.7068965517241566</v>
      </c>
      <c r="F692" s="115">
        <f t="shared" si="125"/>
        <v>-5</v>
      </c>
      <c r="G692" s="115">
        <f t="shared" si="125"/>
        <v>-4.883720930232556</v>
      </c>
      <c r="H692" s="115">
        <f t="shared" si="125"/>
        <v>1.6666666666666714</v>
      </c>
      <c r="I692" s="115">
        <f t="shared" si="125"/>
        <v>3.785714285714292</v>
      </c>
      <c r="J692" s="115">
        <f t="shared" si="125"/>
        <v>-1.8891402714932184</v>
      </c>
      <c r="K692" s="115">
        <f t="shared" si="125"/>
        <v>0</v>
      </c>
      <c r="L692" s="115">
        <f t="shared" si="125"/>
        <v>-100</v>
      </c>
      <c r="M692" s="115">
        <f t="shared" si="125"/>
        <v>-2.9849999999999994</v>
      </c>
      <c r="N692" s="115">
        <f t="shared" si="125"/>
        <v>-3.6363636363636402</v>
      </c>
      <c r="O692" s="115">
        <f t="shared" si="125"/>
        <v>0</v>
      </c>
      <c r="P692" s="115">
        <f t="shared" si="125"/>
        <v>5.180851063829792</v>
      </c>
      <c r="Q692" s="115">
        <f t="shared" si="125"/>
        <v>-5</v>
      </c>
      <c r="R692" s="115">
        <f t="shared" si="125"/>
        <v>4.136363636363612</v>
      </c>
      <c r="S692" s="115">
        <f t="shared" si="125"/>
        <v>-4.916666666666671</v>
      </c>
      <c r="T692" s="115">
        <f t="shared" si="125"/>
        <v>3.7333333333333343</v>
      </c>
      <c r="U692" s="115">
        <f t="shared" si="125"/>
        <v>-4</v>
      </c>
      <c r="V692" s="115">
        <v>0</v>
      </c>
      <c r="W692" s="115">
        <f t="shared" si="125"/>
        <v>0.32258064516129537</v>
      </c>
      <c r="X692" s="115">
        <f t="shared" si="125"/>
        <v>-1.0416666666666714</v>
      </c>
      <c r="Y692" s="115">
        <f t="shared" si="125"/>
        <v>5.13513513513513</v>
      </c>
      <c r="Z692" s="115">
        <f t="shared" si="125"/>
        <v>-4.545454545454547</v>
      </c>
      <c r="AA692" s="115">
        <f t="shared" si="125"/>
        <v>-3.90625</v>
      </c>
      <c r="AB692" s="115">
        <f t="shared" si="125"/>
        <v>1.5</v>
      </c>
      <c r="AC692" s="115">
        <f t="shared" si="125"/>
        <v>0</v>
      </c>
      <c r="AD692" s="115">
        <f t="shared" si="125"/>
        <v>-2.499999999999986</v>
      </c>
      <c r="AE692" s="115">
        <f t="shared" si="125"/>
        <v>5</v>
      </c>
    </row>
    <row r="693" spans="1:31" ht="121.5" customHeight="1">
      <c r="A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24"/>
      <c r="AE693" s="124"/>
    </row>
    <row r="694" spans="1:34" ht="64.5">
      <c r="A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24"/>
      <c r="AE694" s="124"/>
      <c r="AF694" s="125"/>
      <c r="AG694" s="125"/>
      <c r="AH694" s="125"/>
    </row>
    <row r="695" spans="2:34" ht="64.5">
      <c r="B695" s="13" t="s">
        <v>256</v>
      </c>
      <c r="AD695" s="124"/>
      <c r="AE695" s="124"/>
      <c r="AF695" s="125"/>
      <c r="AG695" s="125"/>
      <c r="AH695" s="125"/>
    </row>
    <row r="696" spans="30:34" ht="64.5">
      <c r="AD696" s="124"/>
      <c r="AE696" s="124"/>
      <c r="AF696" s="125"/>
      <c r="AG696" s="125"/>
      <c r="AH696" s="125"/>
    </row>
    <row r="697" spans="30:34" ht="64.5">
      <c r="AD697" s="124"/>
      <c r="AE697" s="124"/>
      <c r="AF697" s="125"/>
      <c r="AG697" s="125"/>
      <c r="AH697" s="125"/>
    </row>
    <row r="698" spans="30:34" ht="64.5">
      <c r="AD698" s="124"/>
      <c r="AE698" s="124"/>
      <c r="AF698" s="125"/>
      <c r="AG698" s="125"/>
      <c r="AH698" s="125"/>
    </row>
    <row r="699" spans="30:34" ht="64.5">
      <c r="AD699" s="124"/>
      <c r="AE699" s="124"/>
      <c r="AF699" s="125"/>
      <c r="AG699" s="125"/>
      <c r="AH699" s="125"/>
    </row>
    <row r="700" spans="30:34" ht="64.5">
      <c r="AD700" s="124"/>
      <c r="AE700" s="124"/>
      <c r="AF700" s="125"/>
      <c r="AG700" s="125"/>
      <c r="AH700" s="125"/>
    </row>
    <row r="701" spans="30:34" ht="64.5">
      <c r="AD701" s="124"/>
      <c r="AE701" s="124"/>
      <c r="AF701" s="125"/>
      <c r="AG701" s="125"/>
      <c r="AH701" s="125"/>
    </row>
    <row r="702" spans="30:34" ht="64.5">
      <c r="AD702" s="124"/>
      <c r="AE702" s="124"/>
      <c r="AF702" s="125"/>
      <c r="AG702" s="125"/>
      <c r="AH702" s="125"/>
    </row>
    <row r="703" spans="30:34" ht="64.5">
      <c r="AD703" s="124"/>
      <c r="AE703" s="124"/>
      <c r="AF703" s="125"/>
      <c r="AG703" s="125"/>
      <c r="AH703" s="125"/>
    </row>
    <row r="704" spans="30:34" ht="64.5">
      <c r="AD704" s="124"/>
      <c r="AE704" s="124"/>
      <c r="AF704" s="125"/>
      <c r="AG704" s="125"/>
      <c r="AH704" s="125"/>
    </row>
    <row r="705" spans="1:34" ht="64.5">
      <c r="A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24"/>
      <c r="AE705" s="124"/>
      <c r="AF705" s="125"/>
      <c r="AG705" s="125"/>
      <c r="AH705" s="125"/>
    </row>
    <row r="706" spans="1:34" ht="64.5">
      <c r="A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24"/>
      <c r="AE706" s="124"/>
      <c r="AF706" s="125"/>
      <c r="AG706" s="125"/>
      <c r="AH706" s="125"/>
    </row>
    <row r="707" spans="1:34" ht="64.5">
      <c r="A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24"/>
      <c r="AE707" s="124"/>
      <c r="AF707" s="125"/>
      <c r="AG707" s="125"/>
      <c r="AH707" s="125"/>
    </row>
    <row r="708" spans="1:34" ht="64.5">
      <c r="A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24"/>
      <c r="AE708" s="124"/>
      <c r="AF708" s="125"/>
      <c r="AG708" s="125"/>
      <c r="AH708" s="125"/>
    </row>
    <row r="709" spans="1:34" ht="64.5">
      <c r="A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24"/>
      <c r="AE709" s="124"/>
      <c r="AF709" s="125"/>
      <c r="AG709" s="125"/>
      <c r="AH709" s="125"/>
    </row>
    <row r="710" spans="1:34" ht="64.5">
      <c r="A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24"/>
      <c r="AE710" s="124"/>
      <c r="AF710" s="125"/>
      <c r="AG710" s="125"/>
      <c r="AH710" s="125"/>
    </row>
  </sheetData>
  <sheetProtection/>
  <mergeCells count="713">
    <mergeCell ref="A249:AE249"/>
    <mergeCell ref="W246:W247"/>
    <mergeCell ref="AA246:AA247"/>
    <mergeCell ref="A277:AE277"/>
    <mergeCell ref="Q279:Q280"/>
    <mergeCell ref="A1:AE2"/>
    <mergeCell ref="X75:X76"/>
    <mergeCell ref="X5:X6"/>
    <mergeCell ref="A257:AE257"/>
    <mergeCell ref="A269:AE269"/>
    <mergeCell ref="F246:F247"/>
    <mergeCell ref="H246:H247"/>
    <mergeCell ref="O246:O247"/>
    <mergeCell ref="G246:G247"/>
    <mergeCell ref="A186:AE186"/>
    <mergeCell ref="H145:H146"/>
    <mergeCell ref="AB145:AB146"/>
    <mergeCell ref="E145:E146"/>
    <mergeCell ref="AD145:AD146"/>
    <mergeCell ref="Y145:Y146"/>
    <mergeCell ref="A73:AE73"/>
    <mergeCell ref="AE75:AE76"/>
    <mergeCell ref="AA75:AA76"/>
    <mergeCell ref="A189:AE189"/>
    <mergeCell ref="C75:C76"/>
    <mergeCell ref="Z75:Z76"/>
    <mergeCell ref="A83:AE83"/>
    <mergeCell ref="N111:N112"/>
    <mergeCell ref="A153:AE153"/>
    <mergeCell ref="P75:P76"/>
    <mergeCell ref="A48:AE48"/>
    <mergeCell ref="I40:I41"/>
    <mergeCell ref="O40:O41"/>
    <mergeCell ref="Q40:Q41"/>
    <mergeCell ref="R40:R41"/>
    <mergeCell ref="B40:B41"/>
    <mergeCell ref="AD40:AD41"/>
    <mergeCell ref="Y40:Y41"/>
    <mergeCell ref="Z40:Z41"/>
    <mergeCell ref="A17:AE17"/>
    <mergeCell ref="AA5:AA6"/>
    <mergeCell ref="A14:AE14"/>
    <mergeCell ref="N40:N41"/>
    <mergeCell ref="A38:AE38"/>
    <mergeCell ref="A39:AE39"/>
    <mergeCell ref="A30:AE30"/>
    <mergeCell ref="P5:P6"/>
    <mergeCell ref="U5:U6"/>
    <mergeCell ref="Z5:Z6"/>
    <mergeCell ref="A3:AE3"/>
    <mergeCell ref="A4:AE4"/>
    <mergeCell ref="A5:A6"/>
    <mergeCell ref="B5:B6"/>
    <mergeCell ref="C5:C6"/>
    <mergeCell ref="S5:S6"/>
    <mergeCell ref="T5:T6"/>
    <mergeCell ref="AE5:AE6"/>
    <mergeCell ref="AD5:AD6"/>
    <mergeCell ref="H5:H6"/>
    <mergeCell ref="N5:N6"/>
    <mergeCell ref="Y5:Y6"/>
    <mergeCell ref="W5:W6"/>
    <mergeCell ref="Q5:Q6"/>
    <mergeCell ref="R5:R6"/>
    <mergeCell ref="A8:AE8"/>
    <mergeCell ref="O5:O6"/>
    <mergeCell ref="G5:G6"/>
    <mergeCell ref="AB5:AB6"/>
    <mergeCell ref="I5:I6"/>
    <mergeCell ref="J5:J6"/>
    <mergeCell ref="D5:D6"/>
    <mergeCell ref="E5:E6"/>
    <mergeCell ref="C40:C41"/>
    <mergeCell ref="G40:G41"/>
    <mergeCell ref="F40:F41"/>
    <mergeCell ref="H40:H41"/>
    <mergeCell ref="D40:D41"/>
    <mergeCell ref="E40:E41"/>
    <mergeCell ref="F5:F6"/>
    <mergeCell ref="R111:R112"/>
    <mergeCell ref="P111:P112"/>
    <mergeCell ref="A122:AE122"/>
    <mergeCell ref="A143:AE143"/>
    <mergeCell ref="A119:AE119"/>
    <mergeCell ref="A111:A112"/>
    <mergeCell ref="B111:B112"/>
    <mergeCell ref="I111:I112"/>
    <mergeCell ref="AE111:AE112"/>
    <mergeCell ref="Q111:Q112"/>
    <mergeCell ref="Q75:Q76"/>
    <mergeCell ref="W75:W76"/>
    <mergeCell ref="I75:I76"/>
    <mergeCell ref="B75:B76"/>
    <mergeCell ref="O75:O76"/>
    <mergeCell ref="AD75:AD76"/>
    <mergeCell ref="U75:U76"/>
    <mergeCell ref="M75:M76"/>
    <mergeCell ref="H75:H76"/>
    <mergeCell ref="AB75:AB76"/>
    <mergeCell ref="Y75:Y76"/>
    <mergeCell ref="T75:T76"/>
    <mergeCell ref="A110:AE110"/>
    <mergeCell ref="D75:D76"/>
    <mergeCell ref="AB40:AB41"/>
    <mergeCell ref="S40:S41"/>
    <mergeCell ref="G75:G76"/>
    <mergeCell ref="AA40:AA41"/>
    <mergeCell ref="J40:J41"/>
    <mergeCell ref="X40:X41"/>
    <mergeCell ref="T111:T112"/>
    <mergeCell ref="Y111:Y112"/>
    <mergeCell ref="W111:W112"/>
    <mergeCell ref="A109:AE109"/>
    <mergeCell ref="E75:E76"/>
    <mergeCell ref="J75:J76"/>
    <mergeCell ref="X111:X112"/>
    <mergeCell ref="Z111:Z112"/>
    <mergeCell ref="AB111:AB112"/>
    <mergeCell ref="O111:O112"/>
    <mergeCell ref="M145:M146"/>
    <mergeCell ref="G111:G112"/>
    <mergeCell ref="O145:O146"/>
    <mergeCell ref="U40:U41"/>
    <mergeCell ref="W40:W41"/>
    <mergeCell ref="T40:T41"/>
    <mergeCell ref="H111:H112"/>
    <mergeCell ref="A64:AE64"/>
    <mergeCell ref="J111:J112"/>
    <mergeCell ref="M111:M112"/>
    <mergeCell ref="AE145:AE146"/>
    <mergeCell ref="A145:A146"/>
    <mergeCell ref="B145:B146"/>
    <mergeCell ref="C145:C146"/>
    <mergeCell ref="D111:D112"/>
    <mergeCell ref="E111:E112"/>
    <mergeCell ref="U111:U112"/>
    <mergeCell ref="AD111:AD112"/>
    <mergeCell ref="S111:S112"/>
    <mergeCell ref="C111:C112"/>
    <mergeCell ref="A144:AE144"/>
    <mergeCell ref="D145:D146"/>
    <mergeCell ref="R145:R146"/>
    <mergeCell ref="J145:J146"/>
    <mergeCell ref="Q145:Q146"/>
    <mergeCell ref="W145:W146"/>
    <mergeCell ref="X145:X146"/>
    <mergeCell ref="Z145:Z146"/>
    <mergeCell ref="N145:N146"/>
    <mergeCell ref="AA145:AA146"/>
    <mergeCell ref="A135:AE135"/>
    <mergeCell ref="A114:AE114"/>
    <mergeCell ref="F145:F146"/>
    <mergeCell ref="Y212:Y213"/>
    <mergeCell ref="A177:A178"/>
    <mergeCell ref="S145:S146"/>
    <mergeCell ref="T145:T146"/>
    <mergeCell ref="U145:U146"/>
    <mergeCell ref="A148:AE148"/>
    <mergeCell ref="I145:I146"/>
    <mergeCell ref="A220:AE220"/>
    <mergeCell ref="O212:O213"/>
    <mergeCell ref="A246:A247"/>
    <mergeCell ref="P246:P247"/>
    <mergeCell ref="B246:B247"/>
    <mergeCell ref="A215:AE215"/>
    <mergeCell ref="AB246:AB247"/>
    <mergeCell ref="D246:D247"/>
    <mergeCell ref="E246:E247"/>
    <mergeCell ref="N246:N247"/>
    <mergeCell ref="A312:A313"/>
    <mergeCell ref="B312:B313"/>
    <mergeCell ref="A279:A280"/>
    <mergeCell ref="C312:C313"/>
    <mergeCell ref="Q246:Q247"/>
    <mergeCell ref="AA279:AA280"/>
    <mergeCell ref="I246:I247"/>
    <mergeCell ref="J246:J247"/>
    <mergeCell ref="M246:M247"/>
    <mergeCell ref="H279:H280"/>
    <mergeCell ref="A168:AE168"/>
    <mergeCell ref="P145:P146"/>
    <mergeCell ref="A236:AE236"/>
    <mergeCell ref="A254:AE254"/>
    <mergeCell ref="B279:B280"/>
    <mergeCell ref="A245:AE245"/>
    <mergeCell ref="A244:AE244"/>
    <mergeCell ref="AB279:AB280"/>
    <mergeCell ref="C279:C280"/>
    <mergeCell ref="C246:C247"/>
    <mergeCell ref="A100:AE100"/>
    <mergeCell ref="A43:AE43"/>
    <mergeCell ref="A51:AE51"/>
    <mergeCell ref="R75:R76"/>
    <mergeCell ref="P40:P41"/>
    <mergeCell ref="M5:M6"/>
    <mergeCell ref="A40:A41"/>
    <mergeCell ref="AE40:AE41"/>
    <mergeCell ref="M40:M41"/>
    <mergeCell ref="A74:AE74"/>
    <mergeCell ref="F111:F112"/>
    <mergeCell ref="A156:AE156"/>
    <mergeCell ref="AA111:AA112"/>
    <mergeCell ref="A78:AE78"/>
    <mergeCell ref="A86:AE86"/>
    <mergeCell ref="S75:S76"/>
    <mergeCell ref="F75:F76"/>
    <mergeCell ref="A75:A76"/>
    <mergeCell ref="N75:N76"/>
    <mergeCell ref="G145:G146"/>
    <mergeCell ref="A175:AE175"/>
    <mergeCell ref="AE177:AE178"/>
    <mergeCell ref="A176:AE176"/>
    <mergeCell ref="H177:H178"/>
    <mergeCell ref="I177:I178"/>
    <mergeCell ref="J177:J178"/>
    <mergeCell ref="T177:T178"/>
    <mergeCell ref="F177:F178"/>
    <mergeCell ref="B177:B178"/>
    <mergeCell ref="C177:C178"/>
    <mergeCell ref="R177:R178"/>
    <mergeCell ref="G177:G178"/>
    <mergeCell ref="D177:D178"/>
    <mergeCell ref="E177:E178"/>
    <mergeCell ref="A210:AE210"/>
    <mergeCell ref="S177:S178"/>
    <mergeCell ref="Y177:Y178"/>
    <mergeCell ref="A202:AE202"/>
    <mergeCell ref="M177:M178"/>
    <mergeCell ref="A212:A213"/>
    <mergeCell ref="B212:B213"/>
    <mergeCell ref="C212:C213"/>
    <mergeCell ref="G212:G213"/>
    <mergeCell ref="R212:R213"/>
    <mergeCell ref="J212:J213"/>
    <mergeCell ref="D212:D213"/>
    <mergeCell ref="A211:AE211"/>
    <mergeCell ref="Z177:Z178"/>
    <mergeCell ref="AA177:AA178"/>
    <mergeCell ref="W177:W178"/>
    <mergeCell ref="O177:O178"/>
    <mergeCell ref="P177:P178"/>
    <mergeCell ref="Q177:Q178"/>
    <mergeCell ref="U177:U178"/>
    <mergeCell ref="X177:X178"/>
    <mergeCell ref="N177:N178"/>
    <mergeCell ref="E279:E280"/>
    <mergeCell ref="F279:F280"/>
    <mergeCell ref="G279:G280"/>
    <mergeCell ref="AD246:AD247"/>
    <mergeCell ref="Y246:Y247"/>
    <mergeCell ref="A180:AE180"/>
    <mergeCell ref="Z246:Z247"/>
    <mergeCell ref="AE246:AE247"/>
    <mergeCell ref="X246:X247"/>
    <mergeCell ref="F212:F213"/>
    <mergeCell ref="S246:S247"/>
    <mergeCell ref="T246:T247"/>
    <mergeCell ref="U246:U247"/>
    <mergeCell ref="R246:R247"/>
    <mergeCell ref="A310:AE310"/>
    <mergeCell ref="W279:W280"/>
    <mergeCell ref="Y279:Y280"/>
    <mergeCell ref="AE279:AE280"/>
    <mergeCell ref="M279:M280"/>
    <mergeCell ref="N279:N280"/>
    <mergeCell ref="O279:O280"/>
    <mergeCell ref="A278:AE278"/>
    <mergeCell ref="D279:D280"/>
    <mergeCell ref="Z279:Z280"/>
    <mergeCell ref="I279:I280"/>
    <mergeCell ref="R279:R280"/>
    <mergeCell ref="S279:S280"/>
    <mergeCell ref="T279:T280"/>
    <mergeCell ref="P279:P280"/>
    <mergeCell ref="J279:J280"/>
    <mergeCell ref="AD279:AD280"/>
    <mergeCell ref="A311:AE311"/>
    <mergeCell ref="I312:I313"/>
    <mergeCell ref="J312:J313"/>
    <mergeCell ref="AB312:AB313"/>
    <mergeCell ref="S312:S313"/>
    <mergeCell ref="T312:T313"/>
    <mergeCell ref="U312:U313"/>
    <mergeCell ref="N312:N313"/>
    <mergeCell ref="A287:AE287"/>
    <mergeCell ref="M312:M313"/>
    <mergeCell ref="G312:G313"/>
    <mergeCell ref="D312:D313"/>
    <mergeCell ref="H312:H313"/>
    <mergeCell ref="F312:F313"/>
    <mergeCell ref="R312:R313"/>
    <mergeCell ref="A323:AE323"/>
    <mergeCell ref="A315:AE315"/>
    <mergeCell ref="E312:E313"/>
    <mergeCell ref="A290:AE290"/>
    <mergeCell ref="X312:X313"/>
    <mergeCell ref="W312:W313"/>
    <mergeCell ref="O312:O313"/>
    <mergeCell ref="P312:P313"/>
    <mergeCell ref="Q312:Q313"/>
    <mergeCell ref="A302:AE302"/>
    <mergeCell ref="A335:AE335"/>
    <mergeCell ref="A691:B691"/>
    <mergeCell ref="A692:B692"/>
    <mergeCell ref="A320:AE320"/>
    <mergeCell ref="A282:AE282"/>
    <mergeCell ref="AD312:AD313"/>
    <mergeCell ref="AE312:AE313"/>
    <mergeCell ref="Y312:Y313"/>
    <mergeCell ref="Z312:Z313"/>
    <mergeCell ref="AA312:AA313"/>
    <mergeCell ref="A223:AE223"/>
    <mergeCell ref="P212:P213"/>
    <mergeCell ref="U212:U213"/>
    <mergeCell ref="X279:X280"/>
    <mergeCell ref="AE212:AE213"/>
    <mergeCell ref="Z212:Z213"/>
    <mergeCell ref="AB212:AB213"/>
    <mergeCell ref="AD212:AD213"/>
    <mergeCell ref="M212:M213"/>
    <mergeCell ref="U279:U280"/>
    <mergeCell ref="T212:T213"/>
    <mergeCell ref="W212:W213"/>
    <mergeCell ref="S212:S213"/>
    <mergeCell ref="AA212:AA213"/>
    <mergeCell ref="Q212:Q213"/>
    <mergeCell ref="E212:E213"/>
    <mergeCell ref="N212:N213"/>
    <mergeCell ref="I212:I213"/>
    <mergeCell ref="H212:H213"/>
    <mergeCell ref="X212:X213"/>
    <mergeCell ref="A344:AE344"/>
    <mergeCell ref="A345:AE345"/>
    <mergeCell ref="A346:A347"/>
    <mergeCell ref="B346:B347"/>
    <mergeCell ref="C346:C347"/>
    <mergeCell ref="D346:D347"/>
    <mergeCell ref="E346:E347"/>
    <mergeCell ref="F346:F347"/>
    <mergeCell ref="S346:S347"/>
    <mergeCell ref="T346:T347"/>
    <mergeCell ref="G346:G347"/>
    <mergeCell ref="H346:H347"/>
    <mergeCell ref="I346:I347"/>
    <mergeCell ref="J346:J347"/>
    <mergeCell ref="M346:M347"/>
    <mergeCell ref="N346:N347"/>
    <mergeCell ref="A358:AE358"/>
    <mergeCell ref="A370:AE370"/>
    <mergeCell ref="O346:O347"/>
    <mergeCell ref="P346:P347"/>
    <mergeCell ref="Z346:Z347"/>
    <mergeCell ref="AA346:AA347"/>
    <mergeCell ref="AB346:AB347"/>
    <mergeCell ref="AD346:AD347"/>
    <mergeCell ref="Q346:Q347"/>
    <mergeCell ref="R346:R347"/>
    <mergeCell ref="A665:AE665"/>
    <mergeCell ref="A678:AE678"/>
    <mergeCell ref="U346:U347"/>
    <mergeCell ref="W346:W347"/>
    <mergeCell ref="R685:R686"/>
    <mergeCell ref="S685:S686"/>
    <mergeCell ref="T685:T686"/>
    <mergeCell ref="AE346:AE347"/>
    <mergeCell ref="A349:AE349"/>
    <mergeCell ref="A355:AE355"/>
    <mergeCell ref="D685:D686"/>
    <mergeCell ref="E685:E686"/>
    <mergeCell ref="F685:F686"/>
    <mergeCell ref="G685:G686"/>
    <mergeCell ref="X346:X347"/>
    <mergeCell ref="Y346:Y347"/>
    <mergeCell ref="J685:J686"/>
    <mergeCell ref="M685:M686"/>
    <mergeCell ref="N685:N686"/>
    <mergeCell ref="O685:O686"/>
    <mergeCell ref="AD654:AD655"/>
    <mergeCell ref="AE654:AE655"/>
    <mergeCell ref="A657:AE657"/>
    <mergeCell ref="A662:AE662"/>
    <mergeCell ref="AB654:AB655"/>
    <mergeCell ref="W654:W655"/>
    <mergeCell ref="X654:X655"/>
    <mergeCell ref="Y654:Y655"/>
    <mergeCell ref="Z654:Z655"/>
    <mergeCell ref="N654:N655"/>
    <mergeCell ref="J654:J655"/>
    <mergeCell ref="M654:M655"/>
    <mergeCell ref="U654:U655"/>
    <mergeCell ref="AA654:AA655"/>
    <mergeCell ref="O654:O655"/>
    <mergeCell ref="P654:P655"/>
    <mergeCell ref="Q654:Q655"/>
    <mergeCell ref="R654:R655"/>
    <mergeCell ref="S654:S655"/>
    <mergeCell ref="T654:T655"/>
    <mergeCell ref="A653:AE653"/>
    <mergeCell ref="A654:A655"/>
    <mergeCell ref="B654:B655"/>
    <mergeCell ref="C654:C655"/>
    <mergeCell ref="D654:D655"/>
    <mergeCell ref="E654:E655"/>
    <mergeCell ref="F654:F655"/>
    <mergeCell ref="G654:G655"/>
    <mergeCell ref="H654:H655"/>
    <mergeCell ref="I654:I655"/>
    <mergeCell ref="Y621:Y622"/>
    <mergeCell ref="Z621:Z622"/>
    <mergeCell ref="A629:AE629"/>
    <mergeCell ref="A632:AE632"/>
    <mergeCell ref="A644:AE644"/>
    <mergeCell ref="A652:AE652"/>
    <mergeCell ref="R621:R622"/>
    <mergeCell ref="S621:S622"/>
    <mergeCell ref="AA621:AA622"/>
    <mergeCell ref="AD621:AD622"/>
    <mergeCell ref="AE621:AE622"/>
    <mergeCell ref="A624:AE624"/>
    <mergeCell ref="AB621:AB622"/>
    <mergeCell ref="T621:T622"/>
    <mergeCell ref="W621:W622"/>
    <mergeCell ref="X621:X622"/>
    <mergeCell ref="G621:G622"/>
    <mergeCell ref="H621:H622"/>
    <mergeCell ref="I621:I622"/>
    <mergeCell ref="J621:J622"/>
    <mergeCell ref="M621:M622"/>
    <mergeCell ref="U621:U622"/>
    <mergeCell ref="N621:N622"/>
    <mergeCell ref="O621:O622"/>
    <mergeCell ref="P621:P622"/>
    <mergeCell ref="Q621:Q622"/>
    <mergeCell ref="A596:AE596"/>
    <mergeCell ref="A610:AE610"/>
    <mergeCell ref="A619:AE619"/>
    <mergeCell ref="A620:AE620"/>
    <mergeCell ref="A621:A622"/>
    <mergeCell ref="B621:B622"/>
    <mergeCell ref="C621:C622"/>
    <mergeCell ref="D621:D622"/>
    <mergeCell ref="E621:E622"/>
    <mergeCell ref="F621:F622"/>
    <mergeCell ref="AD584:AD585"/>
    <mergeCell ref="AE584:AE585"/>
    <mergeCell ref="A587:AE587"/>
    <mergeCell ref="A593:AE593"/>
    <mergeCell ref="AB584:AB585"/>
    <mergeCell ref="W584:W585"/>
    <mergeCell ref="X584:X585"/>
    <mergeCell ref="Y584:Y585"/>
    <mergeCell ref="Z584:Z585"/>
    <mergeCell ref="U584:U585"/>
    <mergeCell ref="AA584:AA585"/>
    <mergeCell ref="O584:O585"/>
    <mergeCell ref="P584:P585"/>
    <mergeCell ref="Q584:Q585"/>
    <mergeCell ref="R584:R585"/>
    <mergeCell ref="S584:S585"/>
    <mergeCell ref="T584:T585"/>
    <mergeCell ref="G584:G585"/>
    <mergeCell ref="H584:H585"/>
    <mergeCell ref="I584:I585"/>
    <mergeCell ref="J584:J585"/>
    <mergeCell ref="M584:M585"/>
    <mergeCell ref="N584:N585"/>
    <mergeCell ref="A584:A585"/>
    <mergeCell ref="B584:B585"/>
    <mergeCell ref="C584:C585"/>
    <mergeCell ref="D584:D585"/>
    <mergeCell ref="E584:E585"/>
    <mergeCell ref="F584:F585"/>
    <mergeCell ref="A557:AE557"/>
    <mergeCell ref="A560:AE560"/>
    <mergeCell ref="A573:AE573"/>
    <mergeCell ref="A582:AE582"/>
    <mergeCell ref="A583:AE583"/>
    <mergeCell ref="R549:R550"/>
    <mergeCell ref="S549:S550"/>
    <mergeCell ref="AA549:AA550"/>
    <mergeCell ref="AD549:AD550"/>
    <mergeCell ref="AE549:AE550"/>
    <mergeCell ref="A552:AE552"/>
    <mergeCell ref="AB549:AB550"/>
    <mergeCell ref="T549:T550"/>
    <mergeCell ref="W549:W550"/>
    <mergeCell ref="X549:X550"/>
    <mergeCell ref="H549:H550"/>
    <mergeCell ref="I549:I550"/>
    <mergeCell ref="J549:J550"/>
    <mergeCell ref="M549:M550"/>
    <mergeCell ref="G549:G550"/>
    <mergeCell ref="U549:U550"/>
    <mergeCell ref="Z549:Z550"/>
    <mergeCell ref="N549:N550"/>
    <mergeCell ref="O549:O550"/>
    <mergeCell ref="P549:P550"/>
    <mergeCell ref="Q549:Q550"/>
    <mergeCell ref="Y549:Y550"/>
    <mergeCell ref="M515:M516"/>
    <mergeCell ref="A526:AE526"/>
    <mergeCell ref="A547:AE547"/>
    <mergeCell ref="A548:AE548"/>
    <mergeCell ref="A549:A550"/>
    <mergeCell ref="B549:B550"/>
    <mergeCell ref="C549:C550"/>
    <mergeCell ref="D549:D550"/>
    <mergeCell ref="E549:E550"/>
    <mergeCell ref="F549:F550"/>
    <mergeCell ref="T515:T516"/>
    <mergeCell ref="AD515:AD516"/>
    <mergeCell ref="AE515:AE516"/>
    <mergeCell ref="A518:AE518"/>
    <mergeCell ref="A523:AE523"/>
    <mergeCell ref="AB515:AB516"/>
    <mergeCell ref="W515:W516"/>
    <mergeCell ref="X515:X516"/>
    <mergeCell ref="Y515:Y516"/>
    <mergeCell ref="Z515:Z516"/>
    <mergeCell ref="I515:I516"/>
    <mergeCell ref="J515:J516"/>
    <mergeCell ref="N515:N516"/>
    <mergeCell ref="U515:U516"/>
    <mergeCell ref="AA515:AA516"/>
    <mergeCell ref="O515:O516"/>
    <mergeCell ref="P515:P516"/>
    <mergeCell ref="Q515:Q516"/>
    <mergeCell ref="R515:R516"/>
    <mergeCell ref="S515:S516"/>
    <mergeCell ref="A514:AE514"/>
    <mergeCell ref="A539:AE539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Y482:Y483"/>
    <mergeCell ref="Z482:Z483"/>
    <mergeCell ref="A490:AE490"/>
    <mergeCell ref="A493:AE493"/>
    <mergeCell ref="A505:AE505"/>
    <mergeCell ref="A513:AE513"/>
    <mergeCell ref="R482:R483"/>
    <mergeCell ref="S482:S483"/>
    <mergeCell ref="AA482:AA483"/>
    <mergeCell ref="AD482:AD483"/>
    <mergeCell ref="AE482:AE483"/>
    <mergeCell ref="A485:AE485"/>
    <mergeCell ref="AB482:AB483"/>
    <mergeCell ref="T482:T483"/>
    <mergeCell ref="W482:W483"/>
    <mergeCell ref="X482:X483"/>
    <mergeCell ref="G482:G483"/>
    <mergeCell ref="H482:H483"/>
    <mergeCell ref="I482:I483"/>
    <mergeCell ref="J482:J483"/>
    <mergeCell ref="M482:M483"/>
    <mergeCell ref="U482:U483"/>
    <mergeCell ref="N482:N483"/>
    <mergeCell ref="O482:O483"/>
    <mergeCell ref="P482:P483"/>
    <mergeCell ref="Q482:Q483"/>
    <mergeCell ref="A482:A483"/>
    <mergeCell ref="B482:B483"/>
    <mergeCell ref="C482:C483"/>
    <mergeCell ref="D482:D483"/>
    <mergeCell ref="E482:E483"/>
    <mergeCell ref="F482:F483"/>
    <mergeCell ref="AA447:AA448"/>
    <mergeCell ref="A458:AE458"/>
    <mergeCell ref="A471:AE471"/>
    <mergeCell ref="A480:AE480"/>
    <mergeCell ref="A481:AE481"/>
    <mergeCell ref="R447:R448"/>
    <mergeCell ref="S447:S448"/>
    <mergeCell ref="AD447:AD448"/>
    <mergeCell ref="AE447:AE448"/>
    <mergeCell ref="A450:AE450"/>
    <mergeCell ref="A455:AE455"/>
    <mergeCell ref="AB447:AB448"/>
    <mergeCell ref="T447:T448"/>
    <mergeCell ref="W447:W448"/>
    <mergeCell ref="X447:X448"/>
    <mergeCell ref="G447:G448"/>
    <mergeCell ref="H447:H448"/>
    <mergeCell ref="I447:I448"/>
    <mergeCell ref="J447:J448"/>
    <mergeCell ref="M447:M448"/>
    <mergeCell ref="Z447:Z448"/>
    <mergeCell ref="N447:N448"/>
    <mergeCell ref="O447:O448"/>
    <mergeCell ref="P447:P448"/>
    <mergeCell ref="Q447:Q448"/>
    <mergeCell ref="Y447:Y448"/>
    <mergeCell ref="U447:U448"/>
    <mergeCell ref="A447:A448"/>
    <mergeCell ref="B447:B448"/>
    <mergeCell ref="C447:C448"/>
    <mergeCell ref="D447:D448"/>
    <mergeCell ref="E447:E448"/>
    <mergeCell ref="F447:F448"/>
    <mergeCell ref="W415:W416"/>
    <mergeCell ref="P415:P416"/>
    <mergeCell ref="Q415:Q416"/>
    <mergeCell ref="Z415:Z416"/>
    <mergeCell ref="AA415:AA416"/>
    <mergeCell ref="A426:AE426"/>
    <mergeCell ref="J415:J416"/>
    <mergeCell ref="M415:M416"/>
    <mergeCell ref="N415:N416"/>
    <mergeCell ref="O415:O416"/>
    <mergeCell ref="A405:AE405"/>
    <mergeCell ref="A413:AE413"/>
    <mergeCell ref="A414:AE414"/>
    <mergeCell ref="A415:A416"/>
    <mergeCell ref="B415:B416"/>
    <mergeCell ref="C415:C416"/>
    <mergeCell ref="D415:D416"/>
    <mergeCell ref="E415:E416"/>
    <mergeCell ref="R415:R416"/>
    <mergeCell ref="S415:S416"/>
    <mergeCell ref="A388:AE388"/>
    <mergeCell ref="Y380:Y381"/>
    <mergeCell ref="Z380:Z381"/>
    <mergeCell ref="AA380:AA381"/>
    <mergeCell ref="AB380:AB381"/>
    <mergeCell ref="A391:AE391"/>
    <mergeCell ref="W380:W381"/>
    <mergeCell ref="X380:X381"/>
    <mergeCell ref="R380:R381"/>
    <mergeCell ref="S380:S381"/>
    <mergeCell ref="A379:AE379"/>
    <mergeCell ref="A380:A381"/>
    <mergeCell ref="N380:N381"/>
    <mergeCell ref="O380:O381"/>
    <mergeCell ref="P380:P381"/>
    <mergeCell ref="Q380:Q381"/>
    <mergeCell ref="AD380:AD381"/>
    <mergeCell ref="AE380:AE381"/>
    <mergeCell ref="D380:D381"/>
    <mergeCell ref="E380:E381"/>
    <mergeCell ref="F380:F381"/>
    <mergeCell ref="G380:G381"/>
    <mergeCell ref="H380:H381"/>
    <mergeCell ref="I380:I381"/>
    <mergeCell ref="A688:B688"/>
    <mergeCell ref="A689:B689"/>
    <mergeCell ref="I415:I416"/>
    <mergeCell ref="G415:G416"/>
    <mergeCell ref="H415:H416"/>
    <mergeCell ref="A687:B687"/>
    <mergeCell ref="T415:T416"/>
    <mergeCell ref="A438:AE438"/>
    <mergeCell ref="A690:B690"/>
    <mergeCell ref="U415:U416"/>
    <mergeCell ref="T380:T381"/>
    <mergeCell ref="U380:U381"/>
    <mergeCell ref="B380:B381"/>
    <mergeCell ref="A383:AE383"/>
    <mergeCell ref="AB415:AB416"/>
    <mergeCell ref="F415:F416"/>
    <mergeCell ref="AD685:AD686"/>
    <mergeCell ref="AE685:AE686"/>
    <mergeCell ref="U685:U686"/>
    <mergeCell ref="AB685:AB686"/>
    <mergeCell ref="X415:X416"/>
    <mergeCell ref="Y415:Y416"/>
    <mergeCell ref="AD415:AD416"/>
    <mergeCell ref="AE415:AE416"/>
    <mergeCell ref="A418:AE418"/>
    <mergeCell ref="A423:AE423"/>
    <mergeCell ref="W685:W686"/>
    <mergeCell ref="X685:X686"/>
    <mergeCell ref="Y685:Y686"/>
    <mergeCell ref="Z685:Z686"/>
    <mergeCell ref="AA685:AA686"/>
    <mergeCell ref="H685:H686"/>
    <mergeCell ref="I685:I686"/>
    <mergeCell ref="P685:P686"/>
    <mergeCell ref="Q685:Q686"/>
    <mergeCell ref="A685:B686"/>
    <mergeCell ref="C685:C686"/>
    <mergeCell ref="A26:AE26"/>
    <mergeCell ref="A60:AE60"/>
    <mergeCell ref="A96:AE96"/>
    <mergeCell ref="A131:AE131"/>
    <mergeCell ref="A164:AE164"/>
    <mergeCell ref="A198:AE198"/>
    <mergeCell ref="AD177:AD178"/>
    <mergeCell ref="AB177:AB178"/>
    <mergeCell ref="A232:AE232"/>
    <mergeCell ref="A265:AE265"/>
    <mergeCell ref="A298:AE298"/>
    <mergeCell ref="A331:AE331"/>
    <mergeCell ref="A366:AE366"/>
    <mergeCell ref="A401:AE401"/>
    <mergeCell ref="J380:J381"/>
    <mergeCell ref="M380:M381"/>
    <mergeCell ref="A378:AE378"/>
    <mergeCell ref="C380:C381"/>
    <mergeCell ref="A640:AE640"/>
    <mergeCell ref="A674:AE674"/>
    <mergeCell ref="A434:AE434"/>
    <mergeCell ref="A467:AE467"/>
    <mergeCell ref="A501:AE501"/>
    <mergeCell ref="A535:AE535"/>
    <mergeCell ref="A569:AE569"/>
    <mergeCell ref="A606:AE606"/>
    <mergeCell ref="A445:AE445"/>
    <mergeCell ref="A446:AE44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13" r:id="rId1"/>
  <rowBreaks count="20" manualBreakCount="20">
    <brk id="37" max="30" man="1"/>
    <brk id="72" max="30" man="1"/>
    <brk id="108" max="30" man="1"/>
    <brk id="142" max="30" man="1"/>
    <brk id="174" max="30" man="1"/>
    <brk id="209" max="30" man="1"/>
    <brk id="243" max="30" man="1"/>
    <brk id="276" max="30" man="1"/>
    <brk id="309" max="30" man="1"/>
    <brk id="343" max="30" man="1"/>
    <brk id="377" max="30" man="1"/>
    <brk id="412" max="30" man="1"/>
    <brk id="444" max="30" man="1"/>
    <brk id="479" max="30" man="1"/>
    <brk id="512" max="30" man="1"/>
    <brk id="546" max="30" man="1"/>
    <brk id="581" max="30" man="1"/>
    <brk id="618" max="30" man="1"/>
    <brk id="651" max="30" man="1"/>
    <brk id="684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M884"/>
  <sheetViews>
    <sheetView tabSelected="1" view="pageBreakPreview" zoomScale="17" zoomScaleNormal="55" zoomScaleSheetLayoutView="17" workbookViewId="0" topLeftCell="A47">
      <selection activeCell="H58" sqref="H58"/>
    </sheetView>
  </sheetViews>
  <sheetFormatPr defaultColWidth="52.421875" defaultRowHeight="12.75"/>
  <cols>
    <col min="1" max="1" width="56.57421875" style="74" customWidth="1"/>
    <col min="2" max="2" width="177.57421875" style="38" customWidth="1"/>
    <col min="3" max="3" width="58.7109375" style="39" customWidth="1"/>
    <col min="4" max="4" width="61.421875" style="38" customWidth="1"/>
    <col min="5" max="5" width="55.8515625" style="38" customWidth="1"/>
    <col min="6" max="6" width="58.140625" style="38" customWidth="1"/>
    <col min="7" max="7" width="109.28125" style="38" customWidth="1"/>
    <col min="8" max="8" width="80.00390625" style="38" customWidth="1"/>
    <col min="9" max="16384" width="52.421875" style="38" customWidth="1"/>
  </cols>
  <sheetData>
    <row r="1" ht="88.5">
      <c r="A1" s="37"/>
    </row>
    <row r="2" spans="1:8" ht="88.5">
      <c r="A2" s="175" t="s">
        <v>187</v>
      </c>
      <c r="B2" s="175"/>
      <c r="C2" s="175"/>
      <c r="D2" s="175"/>
      <c r="E2" s="175"/>
      <c r="F2" s="175"/>
      <c r="G2" s="175"/>
      <c r="H2" s="175"/>
    </row>
    <row r="3" spans="1:8" ht="88.5">
      <c r="A3" s="182" t="s">
        <v>48</v>
      </c>
      <c r="B3" s="182"/>
      <c r="C3" s="182"/>
      <c r="D3" s="182"/>
      <c r="E3" s="182"/>
      <c r="F3" s="182"/>
      <c r="G3" s="182"/>
      <c r="H3" s="182"/>
    </row>
    <row r="4" spans="1:8" ht="88.5">
      <c r="A4" s="176" t="s">
        <v>49</v>
      </c>
      <c r="B4" s="176"/>
      <c r="C4" s="176"/>
      <c r="D4" s="176"/>
      <c r="E4" s="176"/>
      <c r="F4" s="176"/>
      <c r="G4" s="176"/>
      <c r="H4" s="176"/>
    </row>
    <row r="5" spans="1:8" ht="89.25" thickBot="1">
      <c r="A5" s="147"/>
      <c r="B5" s="147"/>
      <c r="C5" s="147"/>
      <c r="D5" s="147"/>
      <c r="E5" s="147"/>
      <c r="F5" s="147"/>
      <c r="G5" s="147"/>
      <c r="H5" s="147"/>
    </row>
    <row r="6" spans="1:8" ht="89.25" thickBot="1">
      <c r="A6" s="178" t="s">
        <v>30</v>
      </c>
      <c r="B6" s="180" t="s">
        <v>50</v>
      </c>
      <c r="C6" s="183" t="s">
        <v>111</v>
      </c>
      <c r="D6" s="172" t="s">
        <v>24</v>
      </c>
      <c r="E6" s="173"/>
      <c r="F6" s="174"/>
      <c r="G6" s="180" t="s">
        <v>51</v>
      </c>
      <c r="H6" s="180" t="s">
        <v>112</v>
      </c>
    </row>
    <row r="7" spans="1:8" ht="89.25" thickBot="1">
      <c r="A7" s="179"/>
      <c r="B7" s="181"/>
      <c r="C7" s="184"/>
      <c r="D7" s="40" t="s">
        <v>0</v>
      </c>
      <c r="E7" s="41" t="s">
        <v>1</v>
      </c>
      <c r="F7" s="41" t="s">
        <v>2</v>
      </c>
      <c r="G7" s="181"/>
      <c r="H7" s="181"/>
    </row>
    <row r="8" spans="1:8" s="46" customFormat="1" ht="89.25" thickBot="1">
      <c r="A8" s="42">
        <v>1</v>
      </c>
      <c r="B8" s="43">
        <v>2</v>
      </c>
      <c r="C8" s="44">
        <v>3</v>
      </c>
      <c r="D8" s="45">
        <v>4</v>
      </c>
      <c r="E8" s="43">
        <v>5</v>
      </c>
      <c r="F8" s="43">
        <v>6</v>
      </c>
      <c r="G8" s="43">
        <v>7</v>
      </c>
      <c r="H8" s="43">
        <v>8</v>
      </c>
    </row>
    <row r="9" spans="1:8" ht="89.25" thickBot="1">
      <c r="A9" s="172" t="s">
        <v>5</v>
      </c>
      <c r="B9" s="173"/>
      <c r="C9" s="173"/>
      <c r="D9" s="173"/>
      <c r="E9" s="173"/>
      <c r="F9" s="173"/>
      <c r="G9" s="173"/>
      <c r="H9" s="174"/>
    </row>
    <row r="10" spans="1:8" ht="177.75" thickBot="1">
      <c r="A10" s="54">
        <v>85</v>
      </c>
      <c r="B10" s="26" t="s">
        <v>103</v>
      </c>
      <c r="C10" s="34">
        <v>150</v>
      </c>
      <c r="D10" s="48">
        <v>8.01</v>
      </c>
      <c r="E10" s="48">
        <v>8.29</v>
      </c>
      <c r="F10" s="48">
        <v>34.86</v>
      </c>
      <c r="G10" s="48">
        <v>251.25</v>
      </c>
      <c r="H10" s="48">
        <v>0.08</v>
      </c>
    </row>
    <row r="11" spans="1:8" ht="89.25" thickBot="1">
      <c r="A11" s="54">
        <v>41</v>
      </c>
      <c r="B11" s="24" t="s">
        <v>101</v>
      </c>
      <c r="C11" s="53" t="s">
        <v>34</v>
      </c>
      <c r="D11" s="52">
        <v>0.72</v>
      </c>
      <c r="E11" s="52">
        <v>2.84</v>
      </c>
      <c r="F11" s="52">
        <v>4.64</v>
      </c>
      <c r="G11" s="52">
        <v>46.8</v>
      </c>
      <c r="H11" s="52">
        <v>5.76</v>
      </c>
    </row>
    <row r="12" spans="1:8" ht="89.25" thickBot="1">
      <c r="A12" s="49">
        <v>31</v>
      </c>
      <c r="B12" s="50" t="s">
        <v>9</v>
      </c>
      <c r="C12" s="34">
        <v>200</v>
      </c>
      <c r="D12" s="48">
        <v>0.04</v>
      </c>
      <c r="E12" s="48">
        <v>0</v>
      </c>
      <c r="F12" s="48">
        <v>12.13</v>
      </c>
      <c r="G12" s="48">
        <v>47</v>
      </c>
      <c r="H12" s="48">
        <v>2</v>
      </c>
    </row>
    <row r="13" spans="1:8" ht="89.25" thickBot="1">
      <c r="A13" s="47">
        <v>16</v>
      </c>
      <c r="B13" s="24" t="s">
        <v>36</v>
      </c>
      <c r="C13" s="53" t="s">
        <v>155</v>
      </c>
      <c r="D13" s="52">
        <v>1.94</v>
      </c>
      <c r="E13" s="52">
        <v>3.77</v>
      </c>
      <c r="F13" s="52">
        <v>12.36</v>
      </c>
      <c r="G13" s="52">
        <v>91</v>
      </c>
      <c r="H13" s="52">
        <v>0</v>
      </c>
    </row>
    <row r="14" spans="1:8" ht="89.25" thickBot="1">
      <c r="A14" s="47"/>
      <c r="B14" s="24" t="s">
        <v>6</v>
      </c>
      <c r="C14" s="34">
        <f>C10+C11+C12+C13</f>
        <v>440</v>
      </c>
      <c r="D14" s="52">
        <f>SUM(D10:D13)</f>
        <v>10.709999999999999</v>
      </c>
      <c r="E14" s="52">
        <f>SUM(E10:E13)</f>
        <v>14.899999999999999</v>
      </c>
      <c r="F14" s="52">
        <f>SUM(F10:F13)</f>
        <v>63.99</v>
      </c>
      <c r="G14" s="52">
        <f>SUM(G10:G13)</f>
        <v>436.05</v>
      </c>
      <c r="H14" s="52">
        <f>SUM(H10:H13)</f>
        <v>7.84</v>
      </c>
    </row>
    <row r="15" spans="1:8" ht="89.25" thickBot="1">
      <c r="A15" s="172" t="s">
        <v>53</v>
      </c>
      <c r="B15" s="173"/>
      <c r="C15" s="173"/>
      <c r="D15" s="173"/>
      <c r="E15" s="173"/>
      <c r="F15" s="173"/>
      <c r="G15" s="173"/>
      <c r="H15" s="174"/>
    </row>
    <row r="16" spans="1:8" ht="89.25" thickBot="1">
      <c r="A16" s="47" t="s">
        <v>32</v>
      </c>
      <c r="B16" s="24" t="s">
        <v>182</v>
      </c>
      <c r="C16" s="53" t="s">
        <v>27</v>
      </c>
      <c r="D16" s="52">
        <v>0.3</v>
      </c>
      <c r="E16" s="52">
        <v>0.17</v>
      </c>
      <c r="F16" s="52">
        <v>15.17</v>
      </c>
      <c r="G16" s="52">
        <v>69</v>
      </c>
      <c r="H16" s="52">
        <v>3</v>
      </c>
    </row>
    <row r="17" spans="1:8" ht="89.25" thickBot="1">
      <c r="A17" s="47"/>
      <c r="B17" s="24" t="s">
        <v>6</v>
      </c>
      <c r="C17" s="51" t="s">
        <v>27</v>
      </c>
      <c r="D17" s="52">
        <f>SUM(D16)</f>
        <v>0.3</v>
      </c>
      <c r="E17" s="52">
        <f>SUM(E16)</f>
        <v>0.17</v>
      </c>
      <c r="F17" s="52">
        <f>SUM(F16)</f>
        <v>15.17</v>
      </c>
      <c r="G17" s="52">
        <f>SUM(G16)</f>
        <v>69</v>
      </c>
      <c r="H17" s="52">
        <f>SUM(H16)</f>
        <v>3</v>
      </c>
    </row>
    <row r="18" spans="1:8" ht="89.25" thickBot="1">
      <c r="A18" s="172" t="s">
        <v>8</v>
      </c>
      <c r="B18" s="173"/>
      <c r="C18" s="173"/>
      <c r="D18" s="173"/>
      <c r="E18" s="173"/>
      <c r="F18" s="173"/>
      <c r="G18" s="173"/>
      <c r="H18" s="174"/>
    </row>
    <row r="19" spans="1:8" ht="266.25" thickBot="1">
      <c r="A19" s="54">
        <v>38</v>
      </c>
      <c r="B19" s="24" t="s">
        <v>268</v>
      </c>
      <c r="C19" s="34">
        <v>40</v>
      </c>
      <c r="D19" s="52">
        <v>1.75</v>
      </c>
      <c r="E19" s="52">
        <v>0.08</v>
      </c>
      <c r="F19" s="52">
        <v>3.33</v>
      </c>
      <c r="G19" s="52">
        <v>22</v>
      </c>
      <c r="H19" s="52">
        <v>4</v>
      </c>
    </row>
    <row r="20" spans="1:8" ht="177.75" thickBot="1">
      <c r="A20" s="47">
        <v>46</v>
      </c>
      <c r="B20" s="24" t="s">
        <v>72</v>
      </c>
      <c r="C20" s="53" t="s">
        <v>25</v>
      </c>
      <c r="D20" s="52">
        <v>3.33</v>
      </c>
      <c r="E20" s="52">
        <v>4.64</v>
      </c>
      <c r="F20" s="52">
        <v>15.7</v>
      </c>
      <c r="G20" s="52">
        <v>115.15</v>
      </c>
      <c r="H20" s="52">
        <v>6.3</v>
      </c>
    </row>
    <row r="21" spans="1:8" ht="89.25" thickBot="1">
      <c r="A21" s="47">
        <v>96</v>
      </c>
      <c r="B21" s="24" t="s">
        <v>46</v>
      </c>
      <c r="C21" s="51" t="s">
        <v>181</v>
      </c>
      <c r="D21" s="52">
        <v>10.12</v>
      </c>
      <c r="E21" s="52">
        <v>9.31</v>
      </c>
      <c r="F21" s="52">
        <v>5.66</v>
      </c>
      <c r="G21" s="52">
        <v>147.6</v>
      </c>
      <c r="H21" s="52">
        <v>14.9</v>
      </c>
    </row>
    <row r="22" spans="1:8" ht="89.25" thickBot="1">
      <c r="A22" s="47">
        <v>89</v>
      </c>
      <c r="B22" s="24" t="s">
        <v>230</v>
      </c>
      <c r="C22" s="34">
        <v>20</v>
      </c>
      <c r="D22" s="52">
        <v>0.4</v>
      </c>
      <c r="E22" s="52">
        <v>4.49</v>
      </c>
      <c r="F22" s="52">
        <v>1.44</v>
      </c>
      <c r="G22" s="52">
        <v>40</v>
      </c>
      <c r="H22" s="52">
        <v>0.01</v>
      </c>
    </row>
    <row r="23" spans="1:8" ht="89.25" thickBot="1">
      <c r="A23" s="47">
        <v>9</v>
      </c>
      <c r="B23" s="24" t="s">
        <v>43</v>
      </c>
      <c r="C23" s="34">
        <v>200</v>
      </c>
      <c r="D23" s="52">
        <v>0.4</v>
      </c>
      <c r="E23" s="52">
        <v>0</v>
      </c>
      <c r="F23" s="52">
        <v>21</v>
      </c>
      <c r="G23" s="52">
        <v>88</v>
      </c>
      <c r="H23" s="52">
        <v>0.36</v>
      </c>
    </row>
    <row r="24" spans="1:8" ht="177.75" thickBot="1">
      <c r="A24" s="47" t="s">
        <v>32</v>
      </c>
      <c r="B24" s="24" t="s">
        <v>56</v>
      </c>
      <c r="C24" s="34">
        <v>25</v>
      </c>
      <c r="D24" s="52">
        <v>2</v>
      </c>
      <c r="E24" s="52">
        <v>0.25</v>
      </c>
      <c r="F24" s="52">
        <v>12.05</v>
      </c>
      <c r="G24" s="52">
        <v>59</v>
      </c>
      <c r="H24" s="52">
        <v>0</v>
      </c>
    </row>
    <row r="25" spans="1:8" ht="177.75" thickBot="1">
      <c r="A25" s="47" t="s">
        <v>32</v>
      </c>
      <c r="B25" s="24" t="s">
        <v>58</v>
      </c>
      <c r="C25" s="34">
        <v>50</v>
      </c>
      <c r="D25" s="52">
        <v>2.8</v>
      </c>
      <c r="E25" s="52">
        <v>0.6</v>
      </c>
      <c r="F25" s="52">
        <v>24.7</v>
      </c>
      <c r="G25" s="52">
        <v>116</v>
      </c>
      <c r="H25" s="52">
        <v>0</v>
      </c>
    </row>
    <row r="26" spans="1:8" ht="89.25" thickBot="1">
      <c r="A26" s="54"/>
      <c r="B26" s="26" t="s">
        <v>29</v>
      </c>
      <c r="C26" s="34">
        <f aca="true" t="shared" si="0" ref="C26:H26">C19+C20+C21+C22+C23+C24+C25</f>
        <v>655</v>
      </c>
      <c r="D26" s="48">
        <f t="shared" si="0"/>
        <v>20.8</v>
      </c>
      <c r="E26" s="48">
        <f t="shared" si="0"/>
        <v>19.370000000000005</v>
      </c>
      <c r="F26" s="48">
        <f t="shared" si="0"/>
        <v>83.88000000000001</v>
      </c>
      <c r="G26" s="48">
        <f t="shared" si="0"/>
        <v>587.75</v>
      </c>
      <c r="H26" s="48">
        <f t="shared" si="0"/>
        <v>25.570000000000004</v>
      </c>
    </row>
    <row r="27" spans="1:8" ht="89.25" thickBot="1">
      <c r="A27" s="172" t="s">
        <v>145</v>
      </c>
      <c r="B27" s="173"/>
      <c r="C27" s="173"/>
      <c r="D27" s="173"/>
      <c r="E27" s="173"/>
      <c r="F27" s="173"/>
      <c r="G27" s="173"/>
      <c r="H27" s="174"/>
    </row>
    <row r="28" spans="1:8" ht="266.25" thickBot="1">
      <c r="A28" s="55">
        <v>21.1</v>
      </c>
      <c r="B28" s="56" t="s">
        <v>172</v>
      </c>
      <c r="C28" s="51" t="s">
        <v>115</v>
      </c>
      <c r="D28" s="48">
        <v>5.22</v>
      </c>
      <c r="E28" s="48">
        <v>5.76</v>
      </c>
      <c r="F28" s="48">
        <v>7.2</v>
      </c>
      <c r="G28" s="48">
        <v>106.2</v>
      </c>
      <c r="H28" s="48">
        <v>1.26</v>
      </c>
    </row>
    <row r="29" spans="1:8" ht="266.25" thickBot="1">
      <c r="A29" s="47">
        <v>24</v>
      </c>
      <c r="B29" s="24" t="s">
        <v>104</v>
      </c>
      <c r="C29" s="51" t="s">
        <v>270</v>
      </c>
      <c r="D29" s="52">
        <v>1.69</v>
      </c>
      <c r="E29" s="52">
        <v>2.25</v>
      </c>
      <c r="F29" s="52">
        <v>39.39</v>
      </c>
      <c r="G29" s="52">
        <v>163.14</v>
      </c>
      <c r="H29" s="52">
        <v>0</v>
      </c>
    </row>
    <row r="30" spans="1:8" ht="89.25" thickBot="1">
      <c r="A30" s="54"/>
      <c r="B30" s="24" t="s">
        <v>29</v>
      </c>
      <c r="C30" s="34">
        <f aca="true" t="shared" si="1" ref="C30:H30">C28+C29</f>
        <v>255</v>
      </c>
      <c r="D30" s="52">
        <f t="shared" si="1"/>
        <v>6.91</v>
      </c>
      <c r="E30" s="52">
        <f t="shared" si="1"/>
        <v>8.01</v>
      </c>
      <c r="F30" s="52">
        <f t="shared" si="1"/>
        <v>46.59</v>
      </c>
      <c r="G30" s="52">
        <f t="shared" si="1"/>
        <v>269.34</v>
      </c>
      <c r="H30" s="52">
        <f t="shared" si="1"/>
        <v>1.26</v>
      </c>
    </row>
    <row r="31" spans="1:8" ht="89.25" thickBot="1">
      <c r="A31" s="172" t="s">
        <v>144</v>
      </c>
      <c r="B31" s="173"/>
      <c r="C31" s="173"/>
      <c r="D31" s="173"/>
      <c r="E31" s="173"/>
      <c r="F31" s="173"/>
      <c r="G31" s="173"/>
      <c r="H31" s="174"/>
    </row>
    <row r="32" spans="1:8" ht="177.75" thickBot="1">
      <c r="A32" s="47">
        <v>67</v>
      </c>
      <c r="B32" s="24" t="s">
        <v>180</v>
      </c>
      <c r="C32" s="53" t="s">
        <v>100</v>
      </c>
      <c r="D32" s="52">
        <v>11.68</v>
      </c>
      <c r="E32" s="52">
        <v>5.05</v>
      </c>
      <c r="F32" s="52">
        <v>10.14</v>
      </c>
      <c r="G32" s="52">
        <v>146.25</v>
      </c>
      <c r="H32" s="52">
        <v>7.5</v>
      </c>
    </row>
    <row r="33" spans="1:8" ht="177.75" thickBot="1">
      <c r="A33" s="47" t="s">
        <v>32</v>
      </c>
      <c r="B33" s="24" t="s">
        <v>56</v>
      </c>
      <c r="C33" s="34">
        <v>25</v>
      </c>
      <c r="D33" s="52">
        <v>2</v>
      </c>
      <c r="E33" s="52">
        <v>0.25</v>
      </c>
      <c r="F33" s="52">
        <v>12.05</v>
      </c>
      <c r="G33" s="52">
        <v>59</v>
      </c>
      <c r="H33" s="52">
        <v>0</v>
      </c>
    </row>
    <row r="34" spans="1:8" ht="89.25" thickBot="1">
      <c r="A34" s="54">
        <v>76</v>
      </c>
      <c r="B34" s="50" t="s">
        <v>171</v>
      </c>
      <c r="C34" s="34">
        <v>200</v>
      </c>
      <c r="D34" s="52">
        <v>2.24</v>
      </c>
      <c r="E34" s="52">
        <v>2.56</v>
      </c>
      <c r="F34" s="52">
        <v>13.74</v>
      </c>
      <c r="G34" s="52">
        <v>86</v>
      </c>
      <c r="H34" s="52">
        <v>1.04</v>
      </c>
    </row>
    <row r="35" spans="1:8" ht="177.75" thickBot="1">
      <c r="A35" s="47">
        <v>69</v>
      </c>
      <c r="B35" s="24" t="s">
        <v>106</v>
      </c>
      <c r="C35" s="51" t="s">
        <v>253</v>
      </c>
      <c r="D35" s="52">
        <v>0.34</v>
      </c>
      <c r="E35" s="52">
        <v>0.34</v>
      </c>
      <c r="F35" s="52">
        <v>8.33</v>
      </c>
      <c r="G35" s="52">
        <v>39.95</v>
      </c>
      <c r="H35" s="52">
        <v>8.5</v>
      </c>
    </row>
    <row r="36" spans="1:8" ht="89.25" thickBot="1">
      <c r="A36" s="47"/>
      <c r="B36" s="24" t="s">
        <v>29</v>
      </c>
      <c r="C36" s="57">
        <f aca="true" t="shared" si="2" ref="C36:H36">C32+C33+C34+C35</f>
        <v>560</v>
      </c>
      <c r="D36" s="52">
        <f t="shared" si="2"/>
        <v>16.26</v>
      </c>
      <c r="E36" s="52">
        <f t="shared" si="2"/>
        <v>8.2</v>
      </c>
      <c r="F36" s="52">
        <f t="shared" si="2"/>
        <v>44.26</v>
      </c>
      <c r="G36" s="52">
        <f t="shared" si="2"/>
        <v>331.2</v>
      </c>
      <c r="H36" s="52">
        <f t="shared" si="2"/>
        <v>17.04</v>
      </c>
    </row>
    <row r="37" spans="1:8" ht="89.25" thickBot="1">
      <c r="A37" s="47"/>
      <c r="B37" s="24"/>
      <c r="C37" s="51"/>
      <c r="D37" s="40" t="s">
        <v>0</v>
      </c>
      <c r="E37" s="41" t="s">
        <v>1</v>
      </c>
      <c r="F37" s="41" t="s">
        <v>2</v>
      </c>
      <c r="G37" s="149" t="s">
        <v>3</v>
      </c>
      <c r="H37" s="41" t="s">
        <v>4</v>
      </c>
    </row>
    <row r="38" spans="1:8" ht="89.25" thickBot="1">
      <c r="A38" s="47"/>
      <c r="B38" s="58" t="s">
        <v>10</v>
      </c>
      <c r="C38" s="51"/>
      <c r="D38" s="52">
        <f>D14+D17+D26+D30+D36</f>
        <v>54.980000000000004</v>
      </c>
      <c r="E38" s="52">
        <f>E14+E17+E26+E30+E36</f>
        <v>50.650000000000006</v>
      </c>
      <c r="F38" s="52">
        <f>F14+F17+F26+F30+F36</f>
        <v>253.89000000000001</v>
      </c>
      <c r="G38" s="52">
        <f>G14+G17+G26+G30+G36</f>
        <v>1693.34</v>
      </c>
      <c r="H38" s="52">
        <f>H14+H17+H26+H30+H36</f>
        <v>54.71</v>
      </c>
    </row>
    <row r="39" spans="1:8" ht="89.25" thickBot="1">
      <c r="A39" s="47"/>
      <c r="B39" s="58" t="s">
        <v>11</v>
      </c>
      <c r="C39" s="51"/>
      <c r="D39" s="52">
        <v>54</v>
      </c>
      <c r="E39" s="52">
        <v>60</v>
      </c>
      <c r="F39" s="52">
        <v>261</v>
      </c>
      <c r="G39" s="52">
        <v>1800</v>
      </c>
      <c r="H39" s="52">
        <v>50</v>
      </c>
    </row>
    <row r="40" spans="1:8" ht="263.25" thickBot="1">
      <c r="A40" s="42"/>
      <c r="B40" s="59" t="s">
        <v>12</v>
      </c>
      <c r="C40" s="41"/>
      <c r="D40" s="60">
        <f>D38*100/D39</f>
        <v>101.81481481481481</v>
      </c>
      <c r="E40" s="60">
        <f>E38*100/E39</f>
        <v>84.41666666666669</v>
      </c>
      <c r="F40" s="60">
        <f>F38*100/F39</f>
        <v>97.27586206896552</v>
      </c>
      <c r="G40" s="60">
        <f>G38*100/G39</f>
        <v>94.07444444444444</v>
      </c>
      <c r="H40" s="60">
        <f>H38*100/H39</f>
        <v>109.42</v>
      </c>
    </row>
    <row r="41" spans="1:8" ht="88.5">
      <c r="A41" s="61"/>
      <c r="B41" s="147"/>
      <c r="C41" s="146"/>
      <c r="D41" s="62"/>
      <c r="E41" s="62"/>
      <c r="F41" s="62"/>
      <c r="G41" s="62"/>
      <c r="H41" s="62"/>
    </row>
    <row r="42" spans="1:8" ht="88.5">
      <c r="A42" s="61"/>
      <c r="B42" s="38" t="s">
        <v>68</v>
      </c>
      <c r="C42" s="38"/>
      <c r="E42" s="62"/>
      <c r="F42" s="62"/>
      <c r="G42" s="62"/>
      <c r="H42" s="62"/>
    </row>
    <row r="43" spans="1:2" ht="102">
      <c r="A43" s="61"/>
      <c r="B43" s="38" t="s">
        <v>271</v>
      </c>
    </row>
    <row r="44" spans="1:2" ht="88.5">
      <c r="A44" s="61"/>
      <c r="B44" s="38" t="s">
        <v>67</v>
      </c>
    </row>
    <row r="45" spans="1:2" ht="88.5">
      <c r="A45" s="61"/>
      <c r="B45" s="38" t="s">
        <v>151</v>
      </c>
    </row>
    <row r="46" spans="1:8" ht="88.5">
      <c r="A46" s="61"/>
      <c r="B46" s="147"/>
      <c r="C46" s="146"/>
      <c r="D46" s="62"/>
      <c r="E46" s="62"/>
      <c r="F46" s="62"/>
      <c r="G46" s="62"/>
      <c r="H46" s="62"/>
    </row>
    <row r="47" spans="1:8" ht="88.5">
      <c r="A47" s="175" t="s">
        <v>195</v>
      </c>
      <c r="B47" s="175"/>
      <c r="C47" s="175"/>
      <c r="D47" s="175"/>
      <c r="E47" s="175"/>
      <c r="F47" s="175"/>
      <c r="G47" s="175"/>
      <c r="H47" s="175"/>
    </row>
    <row r="48" spans="1:8" ht="88.5">
      <c r="A48" s="175" t="s">
        <v>48</v>
      </c>
      <c r="B48" s="175"/>
      <c r="C48" s="175"/>
      <c r="D48" s="175"/>
      <c r="E48" s="175"/>
      <c r="F48" s="175"/>
      <c r="G48" s="175"/>
      <c r="H48" s="175"/>
    </row>
    <row r="49" spans="1:8" ht="88.5">
      <c r="A49" s="176" t="s">
        <v>49</v>
      </c>
      <c r="B49" s="176"/>
      <c r="C49" s="176"/>
      <c r="D49" s="176"/>
      <c r="E49" s="176"/>
      <c r="F49" s="176"/>
      <c r="G49" s="176"/>
      <c r="H49" s="176"/>
    </row>
    <row r="50" spans="1:8" ht="89.25" thickBot="1">
      <c r="A50" s="177"/>
      <c r="B50" s="177"/>
      <c r="C50" s="177"/>
      <c r="D50" s="177"/>
      <c r="E50" s="177"/>
      <c r="F50" s="177"/>
      <c r="G50" s="177"/>
      <c r="H50" s="177"/>
    </row>
    <row r="51" spans="1:8" ht="89.25" thickBot="1">
      <c r="A51" s="178" t="s">
        <v>30</v>
      </c>
      <c r="B51" s="180" t="s">
        <v>50</v>
      </c>
      <c r="C51" s="183" t="s">
        <v>111</v>
      </c>
      <c r="D51" s="172" t="s">
        <v>24</v>
      </c>
      <c r="E51" s="173"/>
      <c r="F51" s="174"/>
      <c r="G51" s="180" t="s">
        <v>51</v>
      </c>
      <c r="H51" s="180" t="s">
        <v>112</v>
      </c>
    </row>
    <row r="52" spans="1:8" ht="89.25" thickBot="1">
      <c r="A52" s="179"/>
      <c r="B52" s="181"/>
      <c r="C52" s="184"/>
      <c r="D52" s="40" t="s">
        <v>0</v>
      </c>
      <c r="E52" s="41" t="s">
        <v>1</v>
      </c>
      <c r="F52" s="41" t="s">
        <v>2</v>
      </c>
      <c r="G52" s="181"/>
      <c r="H52" s="181"/>
    </row>
    <row r="53" spans="1:8" ht="89.25" thickBot="1">
      <c r="A53" s="42">
        <v>1</v>
      </c>
      <c r="B53" s="43">
        <v>2</v>
      </c>
      <c r="C53" s="44">
        <v>3</v>
      </c>
      <c r="D53" s="45">
        <v>4</v>
      </c>
      <c r="E53" s="43">
        <v>5</v>
      </c>
      <c r="F53" s="43">
        <v>6</v>
      </c>
      <c r="G53" s="43">
        <v>7</v>
      </c>
      <c r="H53" s="43">
        <v>8</v>
      </c>
    </row>
    <row r="54" spans="1:8" ht="89.25" thickBot="1">
      <c r="A54" s="172" t="s">
        <v>5</v>
      </c>
      <c r="B54" s="173"/>
      <c r="C54" s="173"/>
      <c r="D54" s="173"/>
      <c r="E54" s="173"/>
      <c r="F54" s="173"/>
      <c r="G54" s="173"/>
      <c r="H54" s="174"/>
    </row>
    <row r="55" spans="1:8" ht="177.75" thickBot="1">
      <c r="A55" s="54">
        <v>45</v>
      </c>
      <c r="B55" s="26" t="s">
        <v>203</v>
      </c>
      <c r="C55" s="34">
        <v>180</v>
      </c>
      <c r="D55" s="48">
        <v>7</v>
      </c>
      <c r="E55" s="48">
        <v>6.73</v>
      </c>
      <c r="F55" s="48">
        <v>29.78</v>
      </c>
      <c r="G55" s="48">
        <v>206</v>
      </c>
      <c r="H55" s="48">
        <v>1.78</v>
      </c>
    </row>
    <row r="56" spans="1:8" ht="89.25" thickBot="1">
      <c r="A56" s="54">
        <v>15</v>
      </c>
      <c r="B56" s="50" t="s">
        <v>224</v>
      </c>
      <c r="C56" s="34">
        <v>200</v>
      </c>
      <c r="D56" s="52">
        <v>3.12</v>
      </c>
      <c r="E56" s="52">
        <v>3.39</v>
      </c>
      <c r="F56" s="52">
        <v>15.81</v>
      </c>
      <c r="G56" s="52">
        <v>106</v>
      </c>
      <c r="H56" s="52">
        <v>1.3</v>
      </c>
    </row>
    <row r="57" spans="1:8" ht="89.25" thickBot="1">
      <c r="A57" s="47">
        <v>86</v>
      </c>
      <c r="B57" s="24" t="s">
        <v>206</v>
      </c>
      <c r="C57" s="51" t="s">
        <v>102</v>
      </c>
      <c r="D57" s="52">
        <v>1.95</v>
      </c>
      <c r="E57" s="52">
        <v>0.2</v>
      </c>
      <c r="F57" s="52">
        <v>19.18</v>
      </c>
      <c r="G57" s="52">
        <v>85</v>
      </c>
      <c r="H57" s="52">
        <v>0.02</v>
      </c>
    </row>
    <row r="58" spans="1:8" ht="89.25" thickBot="1">
      <c r="A58" s="54"/>
      <c r="B58" s="26" t="s">
        <v>6</v>
      </c>
      <c r="C58" s="34">
        <f aca="true" t="shared" si="3" ref="C58:H58">C55+C56+C57</f>
        <v>415</v>
      </c>
      <c r="D58" s="48">
        <f t="shared" si="3"/>
        <v>12.07</v>
      </c>
      <c r="E58" s="48">
        <f t="shared" si="3"/>
        <v>10.32</v>
      </c>
      <c r="F58" s="48">
        <f t="shared" si="3"/>
        <v>64.77000000000001</v>
      </c>
      <c r="G58" s="48">
        <f t="shared" si="3"/>
        <v>397</v>
      </c>
      <c r="H58" s="48">
        <f t="shared" si="3"/>
        <v>3.1</v>
      </c>
    </row>
    <row r="59" spans="1:8" ht="89.25" thickBot="1">
      <c r="A59" s="172" t="s">
        <v>53</v>
      </c>
      <c r="B59" s="173"/>
      <c r="C59" s="173"/>
      <c r="D59" s="173"/>
      <c r="E59" s="173"/>
      <c r="F59" s="173"/>
      <c r="G59" s="173"/>
      <c r="H59" s="174"/>
    </row>
    <row r="60" spans="1:8" ht="89.25" thickBot="1">
      <c r="A60" s="47" t="s">
        <v>32</v>
      </c>
      <c r="B60" s="24" t="s">
        <v>182</v>
      </c>
      <c r="C60" s="53" t="s">
        <v>27</v>
      </c>
      <c r="D60" s="52">
        <v>0.3</v>
      </c>
      <c r="E60" s="52">
        <v>0.17</v>
      </c>
      <c r="F60" s="52">
        <v>15.17</v>
      </c>
      <c r="G60" s="52">
        <v>69</v>
      </c>
      <c r="H60" s="52">
        <v>3</v>
      </c>
    </row>
    <row r="61" spans="1:8" ht="89.25" thickBot="1">
      <c r="A61" s="47"/>
      <c r="B61" s="24" t="s">
        <v>6</v>
      </c>
      <c r="C61" s="51" t="s">
        <v>27</v>
      </c>
      <c r="D61" s="52">
        <f>SUM(D60)</f>
        <v>0.3</v>
      </c>
      <c r="E61" s="52">
        <f>SUM(E60)</f>
        <v>0.17</v>
      </c>
      <c r="F61" s="52">
        <f>SUM(F60)</f>
        <v>15.17</v>
      </c>
      <c r="G61" s="52">
        <f>SUM(G60)</f>
        <v>69</v>
      </c>
      <c r="H61" s="52">
        <f>SUM(H60)</f>
        <v>3</v>
      </c>
    </row>
    <row r="62" spans="1:8" ht="89.25" thickBot="1">
      <c r="A62" s="185" t="s">
        <v>31</v>
      </c>
      <c r="B62" s="186"/>
      <c r="C62" s="186"/>
      <c r="D62" s="186"/>
      <c r="E62" s="186"/>
      <c r="F62" s="186"/>
      <c r="G62" s="186"/>
      <c r="H62" s="187"/>
    </row>
    <row r="63" spans="1:8" ht="177.75" thickBot="1">
      <c r="A63" s="54">
        <v>12</v>
      </c>
      <c r="B63" s="24" t="s">
        <v>227</v>
      </c>
      <c r="C63" s="34">
        <v>60</v>
      </c>
      <c r="D63" s="52">
        <v>0.93</v>
      </c>
      <c r="E63" s="52">
        <v>6.03</v>
      </c>
      <c r="F63" s="52">
        <v>6.2</v>
      </c>
      <c r="G63" s="52">
        <v>86.67</v>
      </c>
      <c r="H63" s="52">
        <v>2.69</v>
      </c>
    </row>
    <row r="64" spans="1:8" ht="266.25" thickBot="1">
      <c r="A64" s="47">
        <v>5</v>
      </c>
      <c r="B64" s="24" t="s">
        <v>175</v>
      </c>
      <c r="C64" s="51" t="s">
        <v>25</v>
      </c>
      <c r="D64" s="52">
        <v>2.96</v>
      </c>
      <c r="E64" s="52">
        <v>4.79</v>
      </c>
      <c r="F64" s="52">
        <v>8.4</v>
      </c>
      <c r="G64" s="52">
        <v>96.69</v>
      </c>
      <c r="H64" s="52">
        <v>9.15</v>
      </c>
    </row>
    <row r="65" spans="1:8" ht="177.75" thickBot="1">
      <c r="A65" s="64">
        <v>6</v>
      </c>
      <c r="B65" s="65" t="s">
        <v>74</v>
      </c>
      <c r="C65" s="34">
        <v>60</v>
      </c>
      <c r="D65" s="52">
        <v>8.44</v>
      </c>
      <c r="E65" s="52">
        <v>6.88</v>
      </c>
      <c r="F65" s="52">
        <v>6.13</v>
      </c>
      <c r="G65" s="52">
        <v>119.98</v>
      </c>
      <c r="H65" s="52">
        <v>0.7</v>
      </c>
    </row>
    <row r="66" spans="1:8" ht="89.25" thickBot="1">
      <c r="A66" s="54">
        <v>79</v>
      </c>
      <c r="B66" s="24" t="s">
        <v>262</v>
      </c>
      <c r="C66" s="34">
        <v>130</v>
      </c>
      <c r="D66" s="52">
        <v>2.5</v>
      </c>
      <c r="E66" s="52">
        <v>5.77</v>
      </c>
      <c r="F66" s="52">
        <v>17.47</v>
      </c>
      <c r="G66" s="52">
        <v>131.71</v>
      </c>
      <c r="H66" s="52">
        <v>10.4</v>
      </c>
    </row>
    <row r="67" spans="1:8" ht="266.25" thickBot="1">
      <c r="A67" s="47">
        <v>20</v>
      </c>
      <c r="B67" s="24" t="s">
        <v>232</v>
      </c>
      <c r="C67" s="53" t="s">
        <v>25</v>
      </c>
      <c r="D67" s="52">
        <v>0</v>
      </c>
      <c r="E67" s="52">
        <v>0</v>
      </c>
      <c r="F67" s="52">
        <v>32.44</v>
      </c>
      <c r="G67" s="52">
        <v>125</v>
      </c>
      <c r="H67" s="52">
        <v>0</v>
      </c>
    </row>
    <row r="68" spans="1:8" ht="177.75" thickBot="1">
      <c r="A68" s="47" t="s">
        <v>32</v>
      </c>
      <c r="B68" s="24" t="s">
        <v>56</v>
      </c>
      <c r="C68" s="34">
        <v>25</v>
      </c>
      <c r="D68" s="52">
        <v>2</v>
      </c>
      <c r="E68" s="52">
        <v>0.25</v>
      </c>
      <c r="F68" s="52">
        <v>12.05</v>
      </c>
      <c r="G68" s="52">
        <v>59</v>
      </c>
      <c r="H68" s="52">
        <v>0</v>
      </c>
    </row>
    <row r="69" spans="1:8" ht="177.75" thickBot="1">
      <c r="A69" s="47" t="s">
        <v>32</v>
      </c>
      <c r="B69" s="24" t="s">
        <v>58</v>
      </c>
      <c r="C69" s="34">
        <v>50</v>
      </c>
      <c r="D69" s="52">
        <v>2.8</v>
      </c>
      <c r="E69" s="52">
        <v>0.6</v>
      </c>
      <c r="F69" s="52">
        <v>24.7</v>
      </c>
      <c r="G69" s="52">
        <v>116</v>
      </c>
      <c r="H69" s="52">
        <v>0</v>
      </c>
    </row>
    <row r="70" spans="1:8" ht="89.25" thickBot="1">
      <c r="A70" s="42"/>
      <c r="B70" s="24" t="s">
        <v>6</v>
      </c>
      <c r="C70" s="34">
        <f aca="true" t="shared" si="4" ref="C70:H70">C63+C64+C65+C66+C67+C68+C69</f>
        <v>725</v>
      </c>
      <c r="D70" s="52">
        <f t="shared" si="4"/>
        <v>19.63</v>
      </c>
      <c r="E70" s="52">
        <f t="shared" si="4"/>
        <v>24.32</v>
      </c>
      <c r="F70" s="52">
        <f t="shared" si="4"/>
        <v>107.39</v>
      </c>
      <c r="G70" s="52">
        <f t="shared" si="4"/>
        <v>735.0500000000001</v>
      </c>
      <c r="H70" s="52">
        <f t="shared" si="4"/>
        <v>22.939999999999998</v>
      </c>
    </row>
    <row r="71" spans="1:8" ht="89.25" thickBot="1">
      <c r="A71" s="172" t="s">
        <v>145</v>
      </c>
      <c r="B71" s="173"/>
      <c r="C71" s="173"/>
      <c r="D71" s="173"/>
      <c r="E71" s="173"/>
      <c r="F71" s="173"/>
      <c r="G71" s="173"/>
      <c r="H71" s="174"/>
    </row>
    <row r="72" spans="1:8" ht="266.25" thickBot="1">
      <c r="A72" s="55">
        <v>21.1</v>
      </c>
      <c r="B72" s="56" t="s">
        <v>172</v>
      </c>
      <c r="C72" s="51" t="s">
        <v>115</v>
      </c>
      <c r="D72" s="48">
        <v>5.22</v>
      </c>
      <c r="E72" s="48">
        <v>5.76</v>
      </c>
      <c r="F72" s="48">
        <v>7.2</v>
      </c>
      <c r="G72" s="48">
        <v>106.2</v>
      </c>
      <c r="H72" s="48">
        <v>1.26</v>
      </c>
    </row>
    <row r="73" spans="1:8" ht="89.25" thickBot="1">
      <c r="A73" s="47">
        <v>36</v>
      </c>
      <c r="B73" s="24" t="s">
        <v>57</v>
      </c>
      <c r="C73" s="51" t="s">
        <v>59</v>
      </c>
      <c r="D73" s="52">
        <v>6.11</v>
      </c>
      <c r="E73" s="52">
        <v>11.11</v>
      </c>
      <c r="F73" s="52">
        <v>34.77</v>
      </c>
      <c r="G73" s="52">
        <v>280</v>
      </c>
      <c r="H73" s="52">
        <v>0.21</v>
      </c>
    </row>
    <row r="74" spans="1:8" ht="89.25" thickBot="1">
      <c r="A74" s="54"/>
      <c r="B74" s="24" t="s">
        <v>29</v>
      </c>
      <c r="C74" s="34">
        <f aca="true" t="shared" si="5" ref="C74:H74">C72+C73</f>
        <v>250</v>
      </c>
      <c r="D74" s="52">
        <f t="shared" si="5"/>
        <v>11.33</v>
      </c>
      <c r="E74" s="52">
        <f t="shared" si="5"/>
        <v>16.869999999999997</v>
      </c>
      <c r="F74" s="52">
        <f t="shared" si="5"/>
        <v>41.970000000000006</v>
      </c>
      <c r="G74" s="52">
        <f t="shared" si="5"/>
        <v>386.2</v>
      </c>
      <c r="H74" s="52">
        <f t="shared" si="5"/>
        <v>1.47</v>
      </c>
    </row>
    <row r="75" spans="1:8" ht="89.25" thickBot="1">
      <c r="A75" s="185" t="s">
        <v>144</v>
      </c>
      <c r="B75" s="186"/>
      <c r="C75" s="186"/>
      <c r="D75" s="186"/>
      <c r="E75" s="186"/>
      <c r="F75" s="186"/>
      <c r="G75" s="186"/>
      <c r="H75" s="187"/>
    </row>
    <row r="76" spans="1:8" ht="177.75" thickBot="1">
      <c r="A76" s="54">
        <v>37</v>
      </c>
      <c r="B76" s="26" t="s">
        <v>35</v>
      </c>
      <c r="C76" s="34">
        <v>150</v>
      </c>
      <c r="D76" s="48">
        <v>11.73</v>
      </c>
      <c r="E76" s="48">
        <v>12.59</v>
      </c>
      <c r="F76" s="48">
        <v>0.03</v>
      </c>
      <c r="G76" s="48">
        <v>174</v>
      </c>
      <c r="H76" s="48">
        <v>0.95</v>
      </c>
    </row>
    <row r="77" spans="1:8" ht="266.25" thickBot="1">
      <c r="A77" s="54">
        <v>38</v>
      </c>
      <c r="B77" s="24" t="s">
        <v>269</v>
      </c>
      <c r="C77" s="53" t="s">
        <v>258</v>
      </c>
      <c r="D77" s="52">
        <v>0.88</v>
      </c>
      <c r="E77" s="52">
        <v>0.16</v>
      </c>
      <c r="F77" s="52">
        <v>4.48</v>
      </c>
      <c r="G77" s="52">
        <v>22.86</v>
      </c>
      <c r="H77" s="52">
        <v>1.92</v>
      </c>
    </row>
    <row r="78" spans="1:8" ht="89.25" thickBot="1">
      <c r="A78" s="54">
        <v>13</v>
      </c>
      <c r="B78" s="50" t="s">
        <v>7</v>
      </c>
      <c r="C78" s="34">
        <v>200</v>
      </c>
      <c r="D78" s="52">
        <v>0</v>
      </c>
      <c r="E78" s="52">
        <v>0</v>
      </c>
      <c r="F78" s="52">
        <v>11.98</v>
      </c>
      <c r="G78" s="52">
        <v>45</v>
      </c>
      <c r="H78" s="52">
        <v>0</v>
      </c>
    </row>
    <row r="79" spans="1:8" ht="177.75" thickBot="1">
      <c r="A79" s="47">
        <v>69</v>
      </c>
      <c r="B79" s="24" t="s">
        <v>106</v>
      </c>
      <c r="C79" s="51" t="s">
        <v>253</v>
      </c>
      <c r="D79" s="52">
        <v>0.34</v>
      </c>
      <c r="E79" s="52">
        <v>0.34</v>
      </c>
      <c r="F79" s="52">
        <v>8.33</v>
      </c>
      <c r="G79" s="52">
        <v>39.95</v>
      </c>
      <c r="H79" s="52">
        <v>8.5</v>
      </c>
    </row>
    <row r="80" spans="1:8" ht="177.75" thickBot="1">
      <c r="A80" s="47" t="s">
        <v>32</v>
      </c>
      <c r="B80" s="24" t="s">
        <v>56</v>
      </c>
      <c r="C80" s="34">
        <v>25</v>
      </c>
      <c r="D80" s="52">
        <v>2</v>
      </c>
      <c r="E80" s="52">
        <v>0.25</v>
      </c>
      <c r="F80" s="52">
        <v>12.05</v>
      </c>
      <c r="G80" s="52">
        <v>59</v>
      </c>
      <c r="H80" s="52">
        <v>0</v>
      </c>
    </row>
    <row r="81" spans="1:8" ht="89.25" thickBot="1">
      <c r="A81" s="42"/>
      <c r="B81" s="24" t="s">
        <v>6</v>
      </c>
      <c r="C81" s="34">
        <f aca="true" t="shared" si="6" ref="C81:H81">C76+C77+C78+C79+C80</f>
        <v>500</v>
      </c>
      <c r="D81" s="52">
        <f t="shared" si="6"/>
        <v>14.950000000000001</v>
      </c>
      <c r="E81" s="52">
        <f t="shared" si="6"/>
        <v>13.34</v>
      </c>
      <c r="F81" s="52">
        <f t="shared" si="6"/>
        <v>36.870000000000005</v>
      </c>
      <c r="G81" s="52">
        <f t="shared" si="6"/>
        <v>340.81</v>
      </c>
      <c r="H81" s="52">
        <f t="shared" si="6"/>
        <v>11.370000000000001</v>
      </c>
    </row>
    <row r="82" spans="1:8" ht="89.25" thickBot="1">
      <c r="A82" s="47"/>
      <c r="B82" s="24"/>
      <c r="C82" s="51"/>
      <c r="D82" s="40" t="s">
        <v>0</v>
      </c>
      <c r="E82" s="41" t="s">
        <v>1</v>
      </c>
      <c r="F82" s="41" t="s">
        <v>2</v>
      </c>
      <c r="G82" s="149" t="s">
        <v>3</v>
      </c>
      <c r="H82" s="41" t="s">
        <v>4</v>
      </c>
    </row>
    <row r="83" spans="1:8" ht="89.25" thickBot="1">
      <c r="A83" s="47"/>
      <c r="B83" s="58" t="s">
        <v>10</v>
      </c>
      <c r="C83" s="51"/>
      <c r="D83" s="52">
        <f>D58+D61+D70+D74+D81</f>
        <v>58.28</v>
      </c>
      <c r="E83" s="52">
        <f>E58+E61+E70+E74+E81</f>
        <v>65.02</v>
      </c>
      <c r="F83" s="52">
        <f>F58+F61+F70+F74+F81</f>
        <v>266.17</v>
      </c>
      <c r="G83" s="52">
        <f>G58+G61+G70+G74+G81</f>
        <v>1928.0600000000002</v>
      </c>
      <c r="H83" s="52">
        <f>H58+H61+H70+H74+H81</f>
        <v>41.879999999999995</v>
      </c>
    </row>
    <row r="84" spans="1:8" ht="89.25" thickBot="1">
      <c r="A84" s="47"/>
      <c r="B84" s="58" t="s">
        <v>11</v>
      </c>
      <c r="C84" s="51"/>
      <c r="D84" s="52">
        <v>54</v>
      </c>
      <c r="E84" s="52">
        <v>60</v>
      </c>
      <c r="F84" s="52">
        <v>261</v>
      </c>
      <c r="G84" s="52">
        <v>1800</v>
      </c>
      <c r="H84" s="52">
        <v>50</v>
      </c>
    </row>
    <row r="85" spans="1:8" ht="263.25" thickBot="1">
      <c r="A85" s="42"/>
      <c r="B85" s="59" t="s">
        <v>12</v>
      </c>
      <c r="C85" s="41"/>
      <c r="D85" s="60">
        <f>D83*100/D84</f>
        <v>107.92592592592592</v>
      </c>
      <c r="E85" s="60">
        <f>E83*100/E84</f>
        <v>108.36666666666666</v>
      </c>
      <c r="F85" s="60">
        <f>F83*100/F84</f>
        <v>101.98084291187739</v>
      </c>
      <c r="G85" s="60">
        <f>G83*100/G84</f>
        <v>107.11444444444446</v>
      </c>
      <c r="H85" s="60">
        <f>H83*100/H84</f>
        <v>83.76</v>
      </c>
    </row>
    <row r="86" spans="1:8" ht="88.5">
      <c r="A86" s="61"/>
      <c r="B86" s="147"/>
      <c r="C86" s="146"/>
      <c r="D86" s="62"/>
      <c r="E86" s="62"/>
      <c r="F86" s="62"/>
      <c r="G86" s="62"/>
      <c r="H86" s="62"/>
    </row>
    <row r="87" spans="1:8" ht="88.5">
      <c r="A87" s="61"/>
      <c r="B87" s="38" t="s">
        <v>68</v>
      </c>
      <c r="C87" s="38"/>
      <c r="E87" s="62"/>
      <c r="F87" s="62"/>
      <c r="G87" s="62"/>
      <c r="H87" s="62"/>
    </row>
    <row r="88" spans="1:8" s="46" customFormat="1" ht="102">
      <c r="A88" s="61"/>
      <c r="B88" s="38" t="s">
        <v>271</v>
      </c>
      <c r="C88" s="39"/>
      <c r="D88" s="38"/>
      <c r="E88" s="38"/>
      <c r="F88" s="38"/>
      <c r="G88" s="38"/>
      <c r="H88" s="38"/>
    </row>
    <row r="89" spans="1:8" s="46" customFormat="1" ht="88.5">
      <c r="A89" s="61"/>
      <c r="B89" s="38" t="s">
        <v>67</v>
      </c>
      <c r="C89" s="39"/>
      <c r="D89" s="38"/>
      <c r="E89" s="38"/>
      <c r="F89" s="38"/>
      <c r="G89" s="38"/>
      <c r="H89" s="38"/>
    </row>
    <row r="90" spans="1:8" s="46" customFormat="1" ht="88.5">
      <c r="A90" s="61"/>
      <c r="B90" s="38" t="s">
        <v>151</v>
      </c>
      <c r="C90" s="39"/>
      <c r="D90" s="38"/>
      <c r="E90" s="38"/>
      <c r="F90" s="38"/>
      <c r="G90" s="38"/>
      <c r="H90" s="38"/>
    </row>
    <row r="91" spans="1:8" s="46" customFormat="1" ht="88.5">
      <c r="A91" s="61"/>
      <c r="B91" s="147"/>
      <c r="C91" s="146"/>
      <c r="D91" s="62"/>
      <c r="E91" s="62"/>
      <c r="F91" s="62"/>
      <c r="G91" s="62"/>
      <c r="H91" s="62"/>
    </row>
    <row r="92" spans="1:8" s="46" customFormat="1" ht="88.5">
      <c r="A92" s="175" t="s">
        <v>183</v>
      </c>
      <c r="B92" s="175"/>
      <c r="C92" s="175"/>
      <c r="D92" s="175"/>
      <c r="E92" s="175"/>
      <c r="F92" s="175"/>
      <c r="G92" s="175"/>
      <c r="H92" s="175"/>
    </row>
    <row r="93" spans="1:8" s="46" customFormat="1" ht="88.5">
      <c r="A93" s="175" t="s">
        <v>48</v>
      </c>
      <c r="B93" s="175"/>
      <c r="C93" s="175"/>
      <c r="D93" s="175"/>
      <c r="E93" s="175"/>
      <c r="F93" s="175"/>
      <c r="G93" s="175"/>
      <c r="H93" s="175"/>
    </row>
    <row r="94" spans="1:8" s="46" customFormat="1" ht="88.5">
      <c r="A94" s="176" t="s">
        <v>49</v>
      </c>
      <c r="B94" s="176"/>
      <c r="C94" s="176"/>
      <c r="D94" s="176"/>
      <c r="E94" s="176"/>
      <c r="F94" s="176"/>
      <c r="G94" s="176"/>
      <c r="H94" s="176"/>
    </row>
    <row r="95" spans="1:8" s="46" customFormat="1" ht="89.25" thickBot="1">
      <c r="A95" s="177"/>
      <c r="B95" s="177"/>
      <c r="C95" s="177"/>
      <c r="D95" s="177"/>
      <c r="E95" s="177"/>
      <c r="F95" s="177"/>
      <c r="G95" s="177"/>
      <c r="H95" s="177"/>
    </row>
    <row r="96" spans="1:8" s="46" customFormat="1" ht="89.25" thickBot="1">
      <c r="A96" s="178" t="s">
        <v>30</v>
      </c>
      <c r="B96" s="180" t="s">
        <v>50</v>
      </c>
      <c r="C96" s="183" t="s">
        <v>111</v>
      </c>
      <c r="D96" s="172" t="s">
        <v>24</v>
      </c>
      <c r="E96" s="173"/>
      <c r="F96" s="174"/>
      <c r="G96" s="180" t="s">
        <v>51</v>
      </c>
      <c r="H96" s="180" t="s">
        <v>112</v>
      </c>
    </row>
    <row r="97" spans="1:8" ht="89.25" thickBot="1">
      <c r="A97" s="179"/>
      <c r="B97" s="181"/>
      <c r="C97" s="184"/>
      <c r="D97" s="40" t="s">
        <v>0</v>
      </c>
      <c r="E97" s="41" t="s">
        <v>1</v>
      </c>
      <c r="F97" s="41" t="s">
        <v>2</v>
      </c>
      <c r="G97" s="181"/>
      <c r="H97" s="181"/>
    </row>
    <row r="98" spans="1:8" ht="89.25" thickBot="1">
      <c r="A98" s="148">
        <v>1</v>
      </c>
      <c r="B98" s="43">
        <v>2</v>
      </c>
      <c r="C98" s="44">
        <v>3</v>
      </c>
      <c r="D98" s="63">
        <v>4</v>
      </c>
      <c r="E98" s="43">
        <v>5</v>
      </c>
      <c r="F98" s="43">
        <v>6</v>
      </c>
      <c r="G98" s="43">
        <v>7</v>
      </c>
      <c r="H98" s="43">
        <v>8</v>
      </c>
    </row>
    <row r="99" spans="1:8" ht="89.25" thickBot="1">
      <c r="A99" s="172" t="s">
        <v>5</v>
      </c>
      <c r="B99" s="173"/>
      <c r="C99" s="173"/>
      <c r="D99" s="173"/>
      <c r="E99" s="173"/>
      <c r="F99" s="173"/>
      <c r="G99" s="173"/>
      <c r="H99" s="174"/>
    </row>
    <row r="100" spans="1:8" ht="177.75" thickBot="1">
      <c r="A100" s="54">
        <v>32</v>
      </c>
      <c r="B100" s="26" t="s">
        <v>218</v>
      </c>
      <c r="C100" s="34">
        <v>180</v>
      </c>
      <c r="D100" s="48">
        <v>5.6</v>
      </c>
      <c r="E100" s="48">
        <v>6.7</v>
      </c>
      <c r="F100" s="48">
        <v>22.6</v>
      </c>
      <c r="G100" s="48">
        <v>172.8</v>
      </c>
      <c r="H100" s="48">
        <v>1.8</v>
      </c>
    </row>
    <row r="101" spans="1:8" ht="177.75" thickBot="1">
      <c r="A101" s="47">
        <v>2</v>
      </c>
      <c r="B101" s="24" t="s">
        <v>69</v>
      </c>
      <c r="C101" s="34">
        <v>200</v>
      </c>
      <c r="D101" s="48">
        <v>3.28</v>
      </c>
      <c r="E101" s="48">
        <v>3.44</v>
      </c>
      <c r="F101" s="48">
        <v>15.92</v>
      </c>
      <c r="G101" s="48">
        <v>105</v>
      </c>
      <c r="H101" s="48">
        <v>1.3</v>
      </c>
    </row>
    <row r="102" spans="1:8" ht="177.75" thickBot="1">
      <c r="A102" s="47">
        <v>3</v>
      </c>
      <c r="B102" s="24" t="s">
        <v>38</v>
      </c>
      <c r="C102" s="51" t="s">
        <v>260</v>
      </c>
      <c r="D102" s="52">
        <v>4.72</v>
      </c>
      <c r="E102" s="52">
        <v>7.31</v>
      </c>
      <c r="F102" s="52">
        <v>12.36</v>
      </c>
      <c r="G102" s="52">
        <v>135</v>
      </c>
      <c r="H102" s="52">
        <v>0.08</v>
      </c>
    </row>
    <row r="103" spans="1:8" ht="89.25" thickBot="1">
      <c r="A103" s="47"/>
      <c r="B103" s="24" t="s">
        <v>6</v>
      </c>
      <c r="C103" s="34">
        <f>C100+C101+C102</f>
        <v>422</v>
      </c>
      <c r="D103" s="52">
        <f>SUM(D100:D102)</f>
        <v>13.599999999999998</v>
      </c>
      <c r="E103" s="52">
        <f>SUM(E100+E101+E102)</f>
        <v>17.45</v>
      </c>
      <c r="F103" s="52">
        <f>SUM(F100+F101+F102)</f>
        <v>50.88</v>
      </c>
      <c r="G103" s="52">
        <f>SUM(G100+G101+G102)</f>
        <v>412.8</v>
      </c>
      <c r="H103" s="52">
        <f>SUM(H100+H101+H102)</f>
        <v>3.18</v>
      </c>
    </row>
    <row r="104" spans="1:8" ht="89.25" thickBot="1">
      <c r="A104" s="172" t="s">
        <v>53</v>
      </c>
      <c r="B104" s="173"/>
      <c r="C104" s="173"/>
      <c r="D104" s="173"/>
      <c r="E104" s="173"/>
      <c r="F104" s="173"/>
      <c r="G104" s="173"/>
      <c r="H104" s="174"/>
    </row>
    <row r="105" spans="1:8" ht="89.25" thickBot="1">
      <c r="A105" s="47" t="s">
        <v>32</v>
      </c>
      <c r="B105" s="24" t="s">
        <v>182</v>
      </c>
      <c r="C105" s="53" t="s">
        <v>27</v>
      </c>
      <c r="D105" s="52">
        <v>0.3</v>
      </c>
      <c r="E105" s="52">
        <v>0.17</v>
      </c>
      <c r="F105" s="52">
        <v>15.17</v>
      </c>
      <c r="G105" s="52">
        <v>69</v>
      </c>
      <c r="H105" s="52">
        <v>3</v>
      </c>
    </row>
    <row r="106" spans="1:8" ht="89.25" thickBot="1">
      <c r="A106" s="47"/>
      <c r="B106" s="24" t="s">
        <v>6</v>
      </c>
      <c r="C106" s="51" t="s">
        <v>27</v>
      </c>
      <c r="D106" s="52">
        <f>SUM(D105)</f>
        <v>0.3</v>
      </c>
      <c r="E106" s="52">
        <f>SUM(E105)</f>
        <v>0.17</v>
      </c>
      <c r="F106" s="52">
        <f>SUM(F105)</f>
        <v>15.17</v>
      </c>
      <c r="G106" s="52">
        <f>SUM(G105)</f>
        <v>69</v>
      </c>
      <c r="H106" s="52">
        <f>SUM(H105)</f>
        <v>3</v>
      </c>
    </row>
    <row r="107" spans="1:8" ht="89.25" thickBot="1">
      <c r="A107" s="185" t="s">
        <v>31</v>
      </c>
      <c r="B107" s="186"/>
      <c r="C107" s="186"/>
      <c r="D107" s="186"/>
      <c r="E107" s="186"/>
      <c r="F107" s="186"/>
      <c r="G107" s="186"/>
      <c r="H107" s="187"/>
    </row>
    <row r="108" spans="1:8" ht="177.75" thickBot="1">
      <c r="A108" s="54">
        <v>88</v>
      </c>
      <c r="B108" s="127" t="s">
        <v>213</v>
      </c>
      <c r="C108" s="53" t="s">
        <v>34</v>
      </c>
      <c r="D108" s="52">
        <v>0.55</v>
      </c>
      <c r="E108" s="52">
        <v>5.08</v>
      </c>
      <c r="F108" s="52">
        <v>0.91</v>
      </c>
      <c r="G108" s="52">
        <v>74</v>
      </c>
      <c r="H108" s="52">
        <v>1.92</v>
      </c>
    </row>
    <row r="109" spans="1:8" ht="261.75" customHeight="1" thickBot="1">
      <c r="A109" s="47">
        <v>52</v>
      </c>
      <c r="B109" s="24" t="s">
        <v>211</v>
      </c>
      <c r="C109" s="53" t="s">
        <v>25</v>
      </c>
      <c r="D109" s="52">
        <v>7.3</v>
      </c>
      <c r="E109" s="52">
        <v>4.46</v>
      </c>
      <c r="F109" s="52">
        <v>20.07</v>
      </c>
      <c r="G109" s="52">
        <v>146</v>
      </c>
      <c r="H109" s="52">
        <v>6.57</v>
      </c>
    </row>
    <row r="110" spans="1:8" ht="116.25" customHeight="1" thickBot="1">
      <c r="A110" s="64">
        <v>64</v>
      </c>
      <c r="B110" s="65" t="s">
        <v>179</v>
      </c>
      <c r="C110" s="66">
        <v>60</v>
      </c>
      <c r="D110" s="67">
        <v>7.69</v>
      </c>
      <c r="E110" s="67">
        <v>8.14</v>
      </c>
      <c r="F110" s="67">
        <v>6.26</v>
      </c>
      <c r="G110" s="67">
        <v>129</v>
      </c>
      <c r="H110" s="67">
        <v>0.67</v>
      </c>
    </row>
    <row r="111" spans="1:8" ht="89.25" thickBot="1">
      <c r="A111" s="47">
        <v>7</v>
      </c>
      <c r="B111" s="65" t="s">
        <v>66</v>
      </c>
      <c r="C111" s="34">
        <v>40</v>
      </c>
      <c r="D111" s="52">
        <v>0.56</v>
      </c>
      <c r="E111" s="52">
        <v>1.56</v>
      </c>
      <c r="F111" s="52">
        <v>2.48</v>
      </c>
      <c r="G111" s="52">
        <v>24.8</v>
      </c>
      <c r="H111" s="52">
        <v>0</v>
      </c>
    </row>
    <row r="112" spans="1:8" ht="89.25" thickBot="1">
      <c r="A112" s="47">
        <v>63</v>
      </c>
      <c r="B112" s="24" t="s">
        <v>147</v>
      </c>
      <c r="C112" s="34">
        <v>150</v>
      </c>
      <c r="D112" s="52">
        <v>12</v>
      </c>
      <c r="E112" s="52">
        <v>4.71</v>
      </c>
      <c r="F112" s="52">
        <v>30.75</v>
      </c>
      <c r="G112" s="52">
        <v>238.5</v>
      </c>
      <c r="H112" s="52">
        <v>0</v>
      </c>
    </row>
    <row r="113" spans="1:8" ht="177.75" thickBot="1">
      <c r="A113" s="54">
        <v>54</v>
      </c>
      <c r="B113" s="50" t="s">
        <v>153</v>
      </c>
      <c r="C113" s="53" t="s">
        <v>25</v>
      </c>
      <c r="D113" s="52">
        <v>0.16</v>
      </c>
      <c r="E113" s="52">
        <v>0.16</v>
      </c>
      <c r="F113" s="52">
        <v>16.89</v>
      </c>
      <c r="G113" s="52">
        <v>71</v>
      </c>
      <c r="H113" s="52">
        <v>4</v>
      </c>
    </row>
    <row r="114" spans="1:8" ht="177.75" thickBot="1">
      <c r="A114" s="47" t="s">
        <v>32</v>
      </c>
      <c r="B114" s="24" t="s">
        <v>56</v>
      </c>
      <c r="C114" s="34">
        <v>25</v>
      </c>
      <c r="D114" s="52">
        <v>2</v>
      </c>
      <c r="E114" s="52">
        <v>0.25</v>
      </c>
      <c r="F114" s="52">
        <v>12.05</v>
      </c>
      <c r="G114" s="52">
        <v>59</v>
      </c>
      <c r="H114" s="52">
        <v>0</v>
      </c>
    </row>
    <row r="115" spans="1:8" ht="177.75" thickBot="1">
      <c r="A115" s="47" t="s">
        <v>32</v>
      </c>
      <c r="B115" s="24" t="s">
        <v>58</v>
      </c>
      <c r="C115" s="34">
        <v>50</v>
      </c>
      <c r="D115" s="52">
        <v>2.8</v>
      </c>
      <c r="E115" s="52">
        <v>0.6</v>
      </c>
      <c r="F115" s="52">
        <v>24.7</v>
      </c>
      <c r="G115" s="52">
        <v>116</v>
      </c>
      <c r="H115" s="52">
        <v>0</v>
      </c>
    </row>
    <row r="116" spans="1:8" ht="89.25" thickBot="1">
      <c r="A116" s="47"/>
      <c r="B116" s="24" t="s">
        <v>6</v>
      </c>
      <c r="C116" s="34">
        <f aca="true" t="shared" si="7" ref="C116:H116">C108+C109+C110+C111+C112+C113+C114+C115</f>
        <v>785</v>
      </c>
      <c r="D116" s="52">
        <f t="shared" si="7"/>
        <v>33.059999999999995</v>
      </c>
      <c r="E116" s="52">
        <f t="shared" si="7"/>
        <v>24.96</v>
      </c>
      <c r="F116" s="52">
        <f t="shared" si="7"/>
        <v>114.11</v>
      </c>
      <c r="G116" s="52">
        <f t="shared" si="7"/>
        <v>858.3</v>
      </c>
      <c r="H116" s="52">
        <f t="shared" si="7"/>
        <v>13.16</v>
      </c>
    </row>
    <row r="117" spans="1:8" ht="89.25" thickBot="1">
      <c r="A117" s="172" t="s">
        <v>145</v>
      </c>
      <c r="B117" s="173"/>
      <c r="C117" s="173"/>
      <c r="D117" s="173"/>
      <c r="E117" s="173"/>
      <c r="F117" s="173"/>
      <c r="G117" s="173"/>
      <c r="H117" s="174"/>
    </row>
    <row r="118" spans="1:8" ht="200.25" customHeight="1" thickBot="1">
      <c r="A118" s="55">
        <v>21.1</v>
      </c>
      <c r="B118" s="56" t="s">
        <v>172</v>
      </c>
      <c r="C118" s="51" t="s">
        <v>115</v>
      </c>
      <c r="D118" s="48">
        <v>5.22</v>
      </c>
      <c r="E118" s="48">
        <v>5.76</v>
      </c>
      <c r="F118" s="48">
        <v>7.2</v>
      </c>
      <c r="G118" s="48">
        <v>106.2</v>
      </c>
      <c r="H118" s="48">
        <v>1.26</v>
      </c>
    </row>
    <row r="119" spans="1:8" ht="177.75" thickBot="1">
      <c r="A119" s="47">
        <v>55</v>
      </c>
      <c r="B119" s="24" t="s">
        <v>248</v>
      </c>
      <c r="C119" s="51" t="s">
        <v>34</v>
      </c>
      <c r="D119" s="52">
        <v>9.7</v>
      </c>
      <c r="E119" s="52">
        <v>6.44</v>
      </c>
      <c r="F119" s="52">
        <v>17.46</v>
      </c>
      <c r="G119" s="52">
        <v>170</v>
      </c>
      <c r="H119" s="52">
        <v>0.16</v>
      </c>
    </row>
    <row r="120" spans="1:8" ht="89.25" thickBot="1">
      <c r="A120" s="54"/>
      <c r="B120" s="24" t="s">
        <v>29</v>
      </c>
      <c r="C120" s="34">
        <f aca="true" t="shared" si="8" ref="C120:H120">C118+C119</f>
        <v>240</v>
      </c>
      <c r="D120" s="52">
        <f t="shared" si="8"/>
        <v>14.919999999999998</v>
      </c>
      <c r="E120" s="52">
        <f t="shared" si="8"/>
        <v>12.2</v>
      </c>
      <c r="F120" s="52">
        <f t="shared" si="8"/>
        <v>24.66</v>
      </c>
      <c r="G120" s="52">
        <f t="shared" si="8"/>
        <v>276.2</v>
      </c>
      <c r="H120" s="52">
        <f t="shared" si="8"/>
        <v>1.42</v>
      </c>
    </row>
    <row r="121" spans="1:8" ht="89.25" thickBot="1">
      <c r="A121" s="185" t="s">
        <v>144</v>
      </c>
      <c r="B121" s="186"/>
      <c r="C121" s="186"/>
      <c r="D121" s="186"/>
      <c r="E121" s="186"/>
      <c r="F121" s="186"/>
      <c r="G121" s="186"/>
      <c r="H121" s="187"/>
    </row>
    <row r="122" spans="1:8" ht="177.75" thickBot="1">
      <c r="A122" s="54">
        <v>71</v>
      </c>
      <c r="B122" s="26" t="s">
        <v>261</v>
      </c>
      <c r="C122" s="34">
        <v>120</v>
      </c>
      <c r="D122" s="48">
        <v>13.15</v>
      </c>
      <c r="E122" s="48">
        <v>2.82</v>
      </c>
      <c r="F122" s="48">
        <v>4.23</v>
      </c>
      <c r="G122" s="48">
        <v>94</v>
      </c>
      <c r="H122" s="48">
        <v>1.51</v>
      </c>
    </row>
    <row r="123" spans="1:8" ht="89.25" thickBot="1">
      <c r="A123" s="54">
        <v>8</v>
      </c>
      <c r="B123" s="24" t="s">
        <v>37</v>
      </c>
      <c r="C123" s="34">
        <v>130</v>
      </c>
      <c r="D123" s="52">
        <v>2.63</v>
      </c>
      <c r="E123" s="52">
        <v>4.53</v>
      </c>
      <c r="F123" s="52">
        <v>15.66</v>
      </c>
      <c r="G123" s="52">
        <v>123.07</v>
      </c>
      <c r="H123" s="52">
        <v>9.1</v>
      </c>
    </row>
    <row r="124" spans="1:8" ht="89.25" thickBot="1">
      <c r="A124" s="49">
        <v>31</v>
      </c>
      <c r="B124" s="50" t="s">
        <v>9</v>
      </c>
      <c r="C124" s="34">
        <v>200</v>
      </c>
      <c r="D124" s="48">
        <v>0.04</v>
      </c>
      <c r="E124" s="48">
        <v>0</v>
      </c>
      <c r="F124" s="48">
        <v>12.13</v>
      </c>
      <c r="G124" s="48">
        <v>47</v>
      </c>
      <c r="H124" s="48">
        <v>2</v>
      </c>
    </row>
    <row r="125" spans="1:8" ht="93.75" customHeight="1" thickBot="1">
      <c r="A125" s="47">
        <v>69</v>
      </c>
      <c r="B125" s="24" t="s">
        <v>106</v>
      </c>
      <c r="C125" s="51" t="s">
        <v>253</v>
      </c>
      <c r="D125" s="52">
        <v>0.34</v>
      </c>
      <c r="E125" s="52">
        <v>0.34</v>
      </c>
      <c r="F125" s="52">
        <v>8.33</v>
      </c>
      <c r="G125" s="52">
        <v>39.95</v>
      </c>
      <c r="H125" s="52">
        <v>8.5</v>
      </c>
    </row>
    <row r="126" spans="1:8" ht="177.75" thickBot="1">
      <c r="A126" s="47" t="s">
        <v>32</v>
      </c>
      <c r="B126" s="24" t="s">
        <v>56</v>
      </c>
      <c r="C126" s="34">
        <v>25</v>
      </c>
      <c r="D126" s="52">
        <v>2</v>
      </c>
      <c r="E126" s="52">
        <v>0.25</v>
      </c>
      <c r="F126" s="52">
        <v>12.05</v>
      </c>
      <c r="G126" s="52">
        <v>59</v>
      </c>
      <c r="H126" s="52">
        <v>0</v>
      </c>
    </row>
    <row r="127" spans="1:8" ht="89.25" thickBot="1">
      <c r="A127" s="47"/>
      <c r="B127" s="24" t="s">
        <v>6</v>
      </c>
      <c r="C127" s="34">
        <f aca="true" t="shared" si="9" ref="C127:H127">C122+C123+C124+C125+C126</f>
        <v>560</v>
      </c>
      <c r="D127" s="60">
        <f t="shared" si="9"/>
        <v>18.16</v>
      </c>
      <c r="E127" s="60">
        <f t="shared" si="9"/>
        <v>7.9399999999999995</v>
      </c>
      <c r="F127" s="60">
        <f t="shared" si="9"/>
        <v>52.400000000000006</v>
      </c>
      <c r="G127" s="60">
        <f t="shared" si="9"/>
        <v>363.02</v>
      </c>
      <c r="H127" s="60">
        <f t="shared" si="9"/>
        <v>21.11</v>
      </c>
    </row>
    <row r="128" spans="1:8" ht="89.25" thickBot="1">
      <c r="A128" s="47"/>
      <c r="B128" s="24"/>
      <c r="C128" s="51"/>
      <c r="D128" s="40" t="s">
        <v>0</v>
      </c>
      <c r="E128" s="41" t="s">
        <v>1</v>
      </c>
      <c r="F128" s="41" t="s">
        <v>2</v>
      </c>
      <c r="G128" s="149" t="s">
        <v>3</v>
      </c>
      <c r="H128" s="41" t="s">
        <v>4</v>
      </c>
    </row>
    <row r="129" spans="1:8" ht="89.25" thickBot="1">
      <c r="A129" s="47"/>
      <c r="B129" s="58" t="s">
        <v>10</v>
      </c>
      <c r="C129" s="51"/>
      <c r="D129" s="52">
        <f>D103+D106+D116+D120+D127</f>
        <v>80.03999999999999</v>
      </c>
      <c r="E129" s="52">
        <f>E103+E106+E116+E120+E127</f>
        <v>62.72</v>
      </c>
      <c r="F129" s="52">
        <f>F103+F106+F116+F120+F127</f>
        <v>257.22</v>
      </c>
      <c r="G129" s="52">
        <f>G103+G106+G116+G120+G127</f>
        <v>1979.32</v>
      </c>
      <c r="H129" s="52">
        <f>H103+H106+H116+H120+H127</f>
        <v>41.87</v>
      </c>
    </row>
    <row r="130" spans="1:8" ht="89.25" thickBot="1">
      <c r="A130" s="47"/>
      <c r="B130" s="58" t="s">
        <v>11</v>
      </c>
      <c r="C130" s="51"/>
      <c r="D130" s="52">
        <v>54</v>
      </c>
      <c r="E130" s="52">
        <v>60</v>
      </c>
      <c r="F130" s="52">
        <v>261</v>
      </c>
      <c r="G130" s="52">
        <v>1800</v>
      </c>
      <c r="H130" s="52">
        <v>50</v>
      </c>
    </row>
    <row r="131" spans="1:8" ht="183.75" customHeight="1" thickBot="1">
      <c r="A131" s="42"/>
      <c r="B131" s="59" t="s">
        <v>12</v>
      </c>
      <c r="C131" s="41"/>
      <c r="D131" s="60">
        <f>D129*100/D130</f>
        <v>148.2222222222222</v>
      </c>
      <c r="E131" s="60">
        <f>E129*100/E130</f>
        <v>104.53333333333333</v>
      </c>
      <c r="F131" s="60">
        <f>F129*100/F130</f>
        <v>98.55172413793105</v>
      </c>
      <c r="G131" s="60">
        <f>G129*100/G130</f>
        <v>109.96222222222222</v>
      </c>
      <c r="H131" s="60">
        <f>H129*100/H130</f>
        <v>83.74</v>
      </c>
    </row>
    <row r="132" spans="1:8" ht="88.5">
      <c r="A132" s="61"/>
      <c r="C132" s="38"/>
      <c r="E132" s="62"/>
      <c r="F132" s="62"/>
      <c r="G132" s="62"/>
      <c r="H132" s="62"/>
    </row>
    <row r="133" spans="1:8" ht="88.5">
      <c r="A133" s="61"/>
      <c r="B133" s="38" t="s">
        <v>68</v>
      </c>
      <c r="C133" s="38"/>
      <c r="E133" s="62"/>
      <c r="F133" s="62"/>
      <c r="G133" s="62"/>
      <c r="H133" s="62"/>
    </row>
    <row r="134" spans="1:2" ht="102">
      <c r="A134" s="61"/>
      <c r="B134" s="38" t="s">
        <v>271</v>
      </c>
    </row>
    <row r="135" spans="1:2" ht="88.5">
      <c r="A135" s="61"/>
      <c r="B135" s="38" t="s">
        <v>67</v>
      </c>
    </row>
    <row r="136" spans="1:2" ht="88.5">
      <c r="A136" s="61"/>
      <c r="B136" s="38" t="s">
        <v>151</v>
      </c>
    </row>
    <row r="137" ht="88.5">
      <c r="A137" s="61"/>
    </row>
    <row r="138" spans="1:8" ht="88.5">
      <c r="A138" s="175" t="s">
        <v>191</v>
      </c>
      <c r="B138" s="175"/>
      <c r="C138" s="175"/>
      <c r="D138" s="175"/>
      <c r="E138" s="175"/>
      <c r="F138" s="175"/>
      <c r="G138" s="175"/>
      <c r="H138" s="175"/>
    </row>
    <row r="139" spans="1:8" ht="88.5">
      <c r="A139" s="175" t="s">
        <v>48</v>
      </c>
      <c r="B139" s="175"/>
      <c r="C139" s="175"/>
      <c r="D139" s="175"/>
      <c r="E139" s="175"/>
      <c r="F139" s="175"/>
      <c r="G139" s="175"/>
      <c r="H139" s="175"/>
    </row>
    <row r="140" spans="1:8" ht="88.5">
      <c r="A140" s="176" t="s">
        <v>49</v>
      </c>
      <c r="B140" s="176"/>
      <c r="C140" s="176"/>
      <c r="D140" s="176"/>
      <c r="E140" s="176"/>
      <c r="F140" s="176"/>
      <c r="G140" s="176"/>
      <c r="H140" s="176"/>
    </row>
    <row r="141" spans="1:8" ht="89.25" thickBot="1">
      <c r="A141" s="177"/>
      <c r="B141" s="177"/>
      <c r="C141" s="177"/>
      <c r="D141" s="177"/>
      <c r="E141" s="177"/>
      <c r="F141" s="177"/>
      <c r="G141" s="177"/>
      <c r="H141" s="177"/>
    </row>
    <row r="142" spans="1:8" ht="89.25" thickBot="1">
      <c r="A142" s="178" t="s">
        <v>30</v>
      </c>
      <c r="B142" s="180" t="s">
        <v>50</v>
      </c>
      <c r="C142" s="183" t="s">
        <v>111</v>
      </c>
      <c r="D142" s="172" t="s">
        <v>24</v>
      </c>
      <c r="E142" s="173"/>
      <c r="F142" s="174"/>
      <c r="G142" s="180" t="s">
        <v>51</v>
      </c>
      <c r="H142" s="180" t="s">
        <v>112</v>
      </c>
    </row>
    <row r="143" spans="1:8" ht="89.25" thickBot="1">
      <c r="A143" s="179"/>
      <c r="B143" s="181"/>
      <c r="C143" s="184"/>
      <c r="D143" s="40" t="s">
        <v>0</v>
      </c>
      <c r="E143" s="41" t="s">
        <v>1</v>
      </c>
      <c r="F143" s="41" t="s">
        <v>2</v>
      </c>
      <c r="G143" s="181"/>
      <c r="H143" s="181"/>
    </row>
    <row r="144" spans="1:8" ht="89.25" thickBot="1">
      <c r="A144" s="148">
        <v>1</v>
      </c>
      <c r="B144" s="43">
        <v>2</v>
      </c>
      <c r="C144" s="44">
        <v>3</v>
      </c>
      <c r="D144" s="63">
        <v>4</v>
      </c>
      <c r="E144" s="43">
        <v>5</v>
      </c>
      <c r="F144" s="43">
        <v>6</v>
      </c>
      <c r="G144" s="43">
        <v>7</v>
      </c>
      <c r="H144" s="43">
        <v>8</v>
      </c>
    </row>
    <row r="145" spans="1:8" ht="89.25" thickBot="1">
      <c r="A145" s="172" t="s">
        <v>5</v>
      </c>
      <c r="B145" s="173"/>
      <c r="C145" s="173"/>
      <c r="D145" s="173"/>
      <c r="E145" s="173"/>
      <c r="F145" s="173"/>
      <c r="G145" s="173"/>
      <c r="H145" s="174"/>
    </row>
    <row r="146" spans="1:8" ht="266.25" thickBot="1">
      <c r="A146" s="64">
        <v>39</v>
      </c>
      <c r="B146" s="65" t="s">
        <v>20</v>
      </c>
      <c r="C146" s="66">
        <v>180</v>
      </c>
      <c r="D146" s="67">
        <v>5.52</v>
      </c>
      <c r="E146" s="67">
        <v>5.29</v>
      </c>
      <c r="F146" s="67">
        <v>21.44</v>
      </c>
      <c r="G146" s="67">
        <v>154.8</v>
      </c>
      <c r="H146" s="67">
        <v>0.9</v>
      </c>
    </row>
    <row r="147" spans="1:8" ht="177.75" thickBot="1">
      <c r="A147" s="47">
        <v>2</v>
      </c>
      <c r="B147" s="24" t="s">
        <v>69</v>
      </c>
      <c r="C147" s="34">
        <v>200</v>
      </c>
      <c r="D147" s="48">
        <v>3.28</v>
      </c>
      <c r="E147" s="48">
        <v>3.44</v>
      </c>
      <c r="F147" s="48">
        <v>15.92</v>
      </c>
      <c r="G147" s="48">
        <v>105</v>
      </c>
      <c r="H147" s="48">
        <v>1.3</v>
      </c>
    </row>
    <row r="148" spans="1:8" ht="89.25" thickBot="1">
      <c r="A148" s="47">
        <v>16</v>
      </c>
      <c r="B148" s="24" t="s">
        <v>36</v>
      </c>
      <c r="C148" s="53" t="s">
        <v>155</v>
      </c>
      <c r="D148" s="52">
        <v>1.94</v>
      </c>
      <c r="E148" s="52">
        <v>3.77</v>
      </c>
      <c r="F148" s="52">
        <v>12.36</v>
      </c>
      <c r="G148" s="52">
        <v>91</v>
      </c>
      <c r="H148" s="52">
        <v>0</v>
      </c>
    </row>
    <row r="149" spans="1:8" ht="89.25" thickBot="1">
      <c r="A149" s="47"/>
      <c r="B149" s="24" t="s">
        <v>6</v>
      </c>
      <c r="C149" s="34">
        <f>C146+C147+C148</f>
        <v>410</v>
      </c>
      <c r="D149" s="52">
        <f>SUM(D146:D148)</f>
        <v>10.739999999999998</v>
      </c>
      <c r="E149" s="52">
        <f>SUM(E146:E148)</f>
        <v>12.5</v>
      </c>
      <c r="F149" s="52">
        <f>SUM(F146:F148)</f>
        <v>49.72</v>
      </c>
      <c r="G149" s="52">
        <f>SUM(G146:G148)</f>
        <v>350.8</v>
      </c>
      <c r="H149" s="52">
        <f>SUM(H146:H148)</f>
        <v>2.2</v>
      </c>
    </row>
    <row r="150" spans="1:8" ht="89.25" thickBot="1">
      <c r="A150" s="172" t="s">
        <v>53</v>
      </c>
      <c r="B150" s="173"/>
      <c r="C150" s="173"/>
      <c r="D150" s="173"/>
      <c r="E150" s="173"/>
      <c r="F150" s="173"/>
      <c r="G150" s="173"/>
      <c r="H150" s="174"/>
    </row>
    <row r="151" spans="1:8" ht="89.25" thickBot="1">
      <c r="A151" s="47" t="s">
        <v>32</v>
      </c>
      <c r="B151" s="24" t="s">
        <v>182</v>
      </c>
      <c r="C151" s="53" t="s">
        <v>27</v>
      </c>
      <c r="D151" s="52">
        <v>0.3</v>
      </c>
      <c r="E151" s="52">
        <v>0.17</v>
      </c>
      <c r="F151" s="52">
        <v>15.17</v>
      </c>
      <c r="G151" s="52">
        <v>69</v>
      </c>
      <c r="H151" s="52">
        <v>3</v>
      </c>
    </row>
    <row r="152" spans="1:8" ht="89.25" thickBot="1">
      <c r="A152" s="47"/>
      <c r="B152" s="24" t="s">
        <v>6</v>
      </c>
      <c r="C152" s="51" t="s">
        <v>27</v>
      </c>
      <c r="D152" s="52">
        <f>SUM(D151)</f>
        <v>0.3</v>
      </c>
      <c r="E152" s="52">
        <f>SUM(E151)</f>
        <v>0.17</v>
      </c>
      <c r="F152" s="52">
        <f>SUM(F151)</f>
        <v>15.17</v>
      </c>
      <c r="G152" s="52">
        <f>SUM(G151)</f>
        <v>69</v>
      </c>
      <c r="H152" s="52">
        <f>SUM(H151)</f>
        <v>3</v>
      </c>
    </row>
    <row r="153" spans="1:8" ht="89.25" thickBot="1">
      <c r="A153" s="185" t="s">
        <v>31</v>
      </c>
      <c r="B153" s="186"/>
      <c r="C153" s="186"/>
      <c r="D153" s="186"/>
      <c r="E153" s="186"/>
      <c r="F153" s="186"/>
      <c r="G153" s="186"/>
      <c r="H153" s="187"/>
    </row>
    <row r="154" spans="1:8" ht="89.25" thickBot="1">
      <c r="A154" s="54">
        <v>56</v>
      </c>
      <c r="B154" s="24" t="s">
        <v>228</v>
      </c>
      <c r="C154" s="53" t="s">
        <v>34</v>
      </c>
      <c r="D154" s="52">
        <v>1.05</v>
      </c>
      <c r="E154" s="52">
        <v>4.84</v>
      </c>
      <c r="F154" s="52">
        <v>6.05</v>
      </c>
      <c r="G154" s="52">
        <v>73.33</v>
      </c>
      <c r="H154" s="52">
        <v>6.4</v>
      </c>
    </row>
    <row r="155" spans="1:8" ht="177.75" thickBot="1">
      <c r="A155" s="47">
        <v>92</v>
      </c>
      <c r="B155" s="24" t="s">
        <v>238</v>
      </c>
      <c r="C155" s="51" t="s">
        <v>25</v>
      </c>
      <c r="D155" s="52">
        <v>10.15</v>
      </c>
      <c r="E155" s="52">
        <v>6.87</v>
      </c>
      <c r="F155" s="52">
        <v>14.93</v>
      </c>
      <c r="G155" s="52">
        <v>180</v>
      </c>
      <c r="H155" s="52">
        <v>10.65</v>
      </c>
    </row>
    <row r="156" spans="1:8" ht="177.75" thickBot="1">
      <c r="A156" s="54">
        <v>29</v>
      </c>
      <c r="B156" s="24" t="s">
        <v>163</v>
      </c>
      <c r="C156" s="51" t="s">
        <v>26</v>
      </c>
      <c r="D156" s="52">
        <v>9.75</v>
      </c>
      <c r="E156" s="52">
        <v>5.45</v>
      </c>
      <c r="F156" s="52">
        <v>35.41</v>
      </c>
      <c r="G156" s="52">
        <v>142.5</v>
      </c>
      <c r="H156" s="52">
        <v>0.51</v>
      </c>
    </row>
    <row r="157" spans="1:8" ht="89.25" thickBot="1">
      <c r="A157" s="54">
        <v>91</v>
      </c>
      <c r="B157" s="24" t="s">
        <v>170</v>
      </c>
      <c r="C157" s="53" t="s">
        <v>181</v>
      </c>
      <c r="D157" s="52">
        <v>2.35</v>
      </c>
      <c r="E157" s="52">
        <v>4.88</v>
      </c>
      <c r="F157" s="52">
        <v>15.56</v>
      </c>
      <c r="G157" s="52">
        <v>122.4</v>
      </c>
      <c r="H157" s="52">
        <v>8.54</v>
      </c>
    </row>
    <row r="158" spans="1:8" ht="89.25" thickBot="1">
      <c r="A158" s="47">
        <v>9</v>
      </c>
      <c r="B158" s="26" t="s">
        <v>225</v>
      </c>
      <c r="C158" s="53" t="s">
        <v>25</v>
      </c>
      <c r="D158" s="52">
        <v>0.94</v>
      </c>
      <c r="E158" s="52">
        <v>0</v>
      </c>
      <c r="F158" s="52">
        <v>22.87</v>
      </c>
      <c r="G158" s="52">
        <v>94</v>
      </c>
      <c r="H158" s="52">
        <v>0.72</v>
      </c>
    </row>
    <row r="159" spans="1:8" ht="177.75" thickBot="1">
      <c r="A159" s="47" t="s">
        <v>32</v>
      </c>
      <c r="B159" s="24" t="s">
        <v>56</v>
      </c>
      <c r="C159" s="34">
        <v>25</v>
      </c>
      <c r="D159" s="52">
        <v>2</v>
      </c>
      <c r="E159" s="52">
        <v>0.25</v>
      </c>
      <c r="F159" s="52">
        <v>12.05</v>
      </c>
      <c r="G159" s="52">
        <v>59</v>
      </c>
      <c r="H159" s="52">
        <v>0</v>
      </c>
    </row>
    <row r="160" spans="1:8" ht="177.75" thickBot="1">
      <c r="A160" s="47" t="s">
        <v>32</v>
      </c>
      <c r="B160" s="24" t="s">
        <v>58</v>
      </c>
      <c r="C160" s="34">
        <v>50</v>
      </c>
      <c r="D160" s="52">
        <v>2.8</v>
      </c>
      <c r="E160" s="52">
        <v>0.6</v>
      </c>
      <c r="F160" s="52">
        <v>24.7</v>
      </c>
      <c r="G160" s="52">
        <v>116</v>
      </c>
      <c r="H160" s="52">
        <v>0</v>
      </c>
    </row>
    <row r="161" spans="1:8" ht="89.25" thickBot="1">
      <c r="A161" s="47"/>
      <c r="B161" s="24" t="s">
        <v>6</v>
      </c>
      <c r="C161" s="34">
        <f aca="true" t="shared" si="10" ref="C161:H161">C154+C155+C156+C157+C158+C159+C160</f>
        <v>755</v>
      </c>
      <c r="D161" s="52">
        <f t="shared" si="10"/>
        <v>29.040000000000006</v>
      </c>
      <c r="E161" s="52">
        <f t="shared" si="10"/>
        <v>22.89</v>
      </c>
      <c r="F161" s="52">
        <f t="shared" si="10"/>
        <v>131.57</v>
      </c>
      <c r="G161" s="52">
        <f t="shared" si="10"/>
        <v>787.23</v>
      </c>
      <c r="H161" s="52">
        <f t="shared" si="10"/>
        <v>26.82</v>
      </c>
    </row>
    <row r="162" spans="1:8" ht="89.25" thickBot="1">
      <c r="A162" s="172" t="s">
        <v>145</v>
      </c>
      <c r="B162" s="173"/>
      <c r="C162" s="173"/>
      <c r="D162" s="173"/>
      <c r="E162" s="173"/>
      <c r="F162" s="173"/>
      <c r="G162" s="173"/>
      <c r="H162" s="174"/>
    </row>
    <row r="163" spans="1:8" ht="266.25" thickBot="1">
      <c r="A163" s="55">
        <v>21.1</v>
      </c>
      <c r="B163" s="56" t="s">
        <v>172</v>
      </c>
      <c r="C163" s="51" t="s">
        <v>115</v>
      </c>
      <c r="D163" s="48">
        <v>5.22</v>
      </c>
      <c r="E163" s="48">
        <v>5.76</v>
      </c>
      <c r="F163" s="48">
        <v>7.2</v>
      </c>
      <c r="G163" s="48">
        <v>106.2</v>
      </c>
      <c r="H163" s="48">
        <v>1.26</v>
      </c>
    </row>
    <row r="164" spans="1:8" ht="266.25" thickBot="1">
      <c r="A164" s="47">
        <v>95</v>
      </c>
      <c r="B164" s="24" t="s">
        <v>266</v>
      </c>
      <c r="C164" s="51" t="s">
        <v>59</v>
      </c>
      <c r="D164" s="52">
        <v>4.62</v>
      </c>
      <c r="E164" s="52">
        <v>5.08</v>
      </c>
      <c r="F164" s="52">
        <v>24.72</v>
      </c>
      <c r="G164" s="52">
        <v>175</v>
      </c>
      <c r="H164" s="52">
        <v>4.07</v>
      </c>
    </row>
    <row r="165" spans="1:8" ht="89.25" thickBot="1">
      <c r="A165" s="54"/>
      <c r="B165" s="24" t="s">
        <v>29</v>
      </c>
      <c r="C165" s="34">
        <f aca="true" t="shared" si="11" ref="C165:H165">C163+C164</f>
        <v>250</v>
      </c>
      <c r="D165" s="52">
        <f t="shared" si="11"/>
        <v>9.84</v>
      </c>
      <c r="E165" s="52">
        <f t="shared" si="11"/>
        <v>10.84</v>
      </c>
      <c r="F165" s="52">
        <f t="shared" si="11"/>
        <v>31.919999999999998</v>
      </c>
      <c r="G165" s="52">
        <f t="shared" si="11"/>
        <v>281.2</v>
      </c>
      <c r="H165" s="52">
        <f t="shared" si="11"/>
        <v>5.33</v>
      </c>
    </row>
    <row r="166" spans="1:8" ht="89.25" thickBot="1">
      <c r="A166" s="185" t="s">
        <v>144</v>
      </c>
      <c r="B166" s="186"/>
      <c r="C166" s="186"/>
      <c r="D166" s="186"/>
      <c r="E166" s="186"/>
      <c r="F166" s="186"/>
      <c r="G166" s="186"/>
      <c r="H166" s="187"/>
    </row>
    <row r="167" spans="1:8" ht="89.25" thickBot="1">
      <c r="A167" s="47">
        <v>26</v>
      </c>
      <c r="B167" s="26" t="s">
        <v>249</v>
      </c>
      <c r="C167" s="34">
        <v>180</v>
      </c>
      <c r="D167" s="52">
        <v>6.55</v>
      </c>
      <c r="E167" s="52">
        <v>6.47</v>
      </c>
      <c r="F167" s="52">
        <v>28.9</v>
      </c>
      <c r="G167" s="60">
        <v>199</v>
      </c>
      <c r="H167" s="60">
        <v>1.77</v>
      </c>
    </row>
    <row r="168" spans="1:8" ht="89.25" thickBot="1">
      <c r="A168" s="54">
        <v>13</v>
      </c>
      <c r="B168" s="50" t="s">
        <v>7</v>
      </c>
      <c r="C168" s="34">
        <v>200</v>
      </c>
      <c r="D168" s="52">
        <v>0</v>
      </c>
      <c r="E168" s="52">
        <v>0</v>
      </c>
      <c r="F168" s="52">
        <v>11.98</v>
      </c>
      <c r="G168" s="52">
        <v>45</v>
      </c>
      <c r="H168" s="52">
        <v>0</v>
      </c>
    </row>
    <row r="169" spans="1:8" ht="177.75" thickBot="1">
      <c r="A169" s="47">
        <v>69</v>
      </c>
      <c r="B169" s="24" t="s">
        <v>106</v>
      </c>
      <c r="C169" s="51" t="s">
        <v>253</v>
      </c>
      <c r="D169" s="52">
        <v>0.34</v>
      </c>
      <c r="E169" s="52">
        <v>0.34</v>
      </c>
      <c r="F169" s="52">
        <v>8.33</v>
      </c>
      <c r="G169" s="52">
        <v>39.95</v>
      </c>
      <c r="H169" s="52">
        <v>8.5</v>
      </c>
    </row>
    <row r="170" spans="1:8" ht="177.75" thickBot="1">
      <c r="A170" s="47" t="s">
        <v>32</v>
      </c>
      <c r="B170" s="24" t="s">
        <v>56</v>
      </c>
      <c r="C170" s="34">
        <v>25</v>
      </c>
      <c r="D170" s="52">
        <v>2</v>
      </c>
      <c r="E170" s="52">
        <v>0.25</v>
      </c>
      <c r="F170" s="52">
        <v>12.05</v>
      </c>
      <c r="G170" s="52">
        <v>59</v>
      </c>
      <c r="H170" s="52">
        <v>0</v>
      </c>
    </row>
    <row r="171" spans="1:8" ht="89.25" thickBot="1">
      <c r="A171" s="47"/>
      <c r="B171" s="24" t="s">
        <v>6</v>
      </c>
      <c r="C171" s="34">
        <f aca="true" t="shared" si="12" ref="C171:H171">C167+C168+C169+C170</f>
        <v>490</v>
      </c>
      <c r="D171" s="52">
        <f t="shared" si="12"/>
        <v>8.89</v>
      </c>
      <c r="E171" s="52">
        <f t="shared" si="12"/>
        <v>7.06</v>
      </c>
      <c r="F171" s="52">
        <f t="shared" si="12"/>
        <v>61.25999999999999</v>
      </c>
      <c r="G171" s="52">
        <f t="shared" si="12"/>
        <v>342.95</v>
      </c>
      <c r="H171" s="52">
        <f t="shared" si="12"/>
        <v>10.27</v>
      </c>
    </row>
    <row r="172" spans="1:8" ht="89.25" thickBot="1">
      <c r="A172" s="47"/>
      <c r="B172" s="24"/>
      <c r="C172" s="51"/>
      <c r="D172" s="40" t="s">
        <v>0</v>
      </c>
      <c r="E172" s="41" t="s">
        <v>1</v>
      </c>
      <c r="F172" s="41" t="s">
        <v>2</v>
      </c>
      <c r="G172" s="149" t="s">
        <v>3</v>
      </c>
      <c r="H172" s="41" t="s">
        <v>4</v>
      </c>
    </row>
    <row r="173" spans="1:8" ht="89.25" thickBot="1">
      <c r="A173" s="47"/>
      <c r="B173" s="58" t="s">
        <v>10</v>
      </c>
      <c r="C173" s="51"/>
      <c r="D173" s="52">
        <f>D149+D152+D161+D165+D171</f>
        <v>58.81</v>
      </c>
      <c r="E173" s="52">
        <f>E149+E152+E161+E165+E171</f>
        <v>53.46000000000001</v>
      </c>
      <c r="F173" s="52">
        <f>F149+F152+F161+F165+F171</f>
        <v>289.64</v>
      </c>
      <c r="G173" s="52">
        <f>G149+G152+G161+G165+G171</f>
        <v>1831.18</v>
      </c>
      <c r="H173" s="52">
        <f>H149+H152+H161+H165+H171</f>
        <v>47.620000000000005</v>
      </c>
    </row>
    <row r="174" spans="1:8" s="46" customFormat="1" ht="89.25" thickBot="1">
      <c r="A174" s="47"/>
      <c r="B174" s="58" t="s">
        <v>11</v>
      </c>
      <c r="C174" s="51"/>
      <c r="D174" s="52">
        <v>54</v>
      </c>
      <c r="E174" s="52">
        <v>60</v>
      </c>
      <c r="F174" s="52">
        <v>261</v>
      </c>
      <c r="G174" s="52">
        <v>1800</v>
      </c>
      <c r="H174" s="52">
        <v>50</v>
      </c>
    </row>
    <row r="175" spans="1:8" ht="263.25" thickBot="1">
      <c r="A175" s="42"/>
      <c r="B175" s="59" t="s">
        <v>12</v>
      </c>
      <c r="C175" s="41"/>
      <c r="D175" s="60">
        <f>D173*100/D174</f>
        <v>108.9074074074074</v>
      </c>
      <c r="E175" s="60">
        <f>E173*100/E174</f>
        <v>89.10000000000001</v>
      </c>
      <c r="F175" s="60">
        <f>F173*100/F174</f>
        <v>110.97318007662835</v>
      </c>
      <c r="G175" s="60">
        <f>G173*100/G174</f>
        <v>101.73222222222222</v>
      </c>
      <c r="H175" s="60">
        <f>H173*100/H174</f>
        <v>95.24</v>
      </c>
    </row>
    <row r="176" spans="1:8" ht="88.5">
      <c r="A176" s="61"/>
      <c r="B176" s="147"/>
      <c r="C176" s="146"/>
      <c r="D176" s="62"/>
      <c r="E176" s="62"/>
      <c r="F176" s="62"/>
      <c r="G176" s="62"/>
      <c r="H176" s="62"/>
    </row>
    <row r="177" spans="1:8" ht="88.5">
      <c r="A177" s="61"/>
      <c r="B177" s="38" t="s">
        <v>68</v>
      </c>
      <c r="C177" s="38"/>
      <c r="E177" s="62"/>
      <c r="F177" s="62"/>
      <c r="G177" s="62"/>
      <c r="H177" s="62"/>
    </row>
    <row r="178" spans="1:2" ht="102">
      <c r="A178" s="61"/>
      <c r="B178" s="38" t="s">
        <v>271</v>
      </c>
    </row>
    <row r="179" spans="1:2" ht="88.5">
      <c r="A179" s="61"/>
      <c r="B179" s="38" t="s">
        <v>67</v>
      </c>
    </row>
    <row r="180" spans="1:2" ht="88.5">
      <c r="A180" s="61"/>
      <c r="B180" s="38" t="s">
        <v>151</v>
      </c>
    </row>
    <row r="181" spans="1:8" ht="88.5">
      <c r="A181" s="61"/>
      <c r="B181" s="147"/>
      <c r="C181" s="146"/>
      <c r="D181" s="62"/>
      <c r="E181" s="62"/>
      <c r="F181" s="62"/>
      <c r="G181" s="62"/>
      <c r="H181" s="62"/>
    </row>
    <row r="182" spans="1:8" ht="88.5">
      <c r="A182" s="175" t="s">
        <v>199</v>
      </c>
      <c r="B182" s="175"/>
      <c r="C182" s="175"/>
      <c r="D182" s="175"/>
      <c r="E182" s="175"/>
      <c r="F182" s="175"/>
      <c r="G182" s="175"/>
      <c r="H182" s="175"/>
    </row>
    <row r="183" spans="1:8" ht="88.5">
      <c r="A183" s="175" t="s">
        <v>48</v>
      </c>
      <c r="B183" s="175"/>
      <c r="C183" s="175"/>
      <c r="D183" s="175"/>
      <c r="E183" s="175"/>
      <c r="F183" s="175"/>
      <c r="G183" s="175"/>
      <c r="H183" s="175"/>
    </row>
    <row r="184" spans="1:8" ht="88.5">
      <c r="A184" s="176" t="s">
        <v>49</v>
      </c>
      <c r="B184" s="176"/>
      <c r="C184" s="176"/>
      <c r="D184" s="176"/>
      <c r="E184" s="176"/>
      <c r="F184" s="176"/>
      <c r="G184" s="176"/>
      <c r="H184" s="176"/>
    </row>
    <row r="185" spans="1:8" ht="89.25" thickBot="1">
      <c r="A185" s="177"/>
      <c r="B185" s="177"/>
      <c r="C185" s="177"/>
      <c r="D185" s="177"/>
      <c r="E185" s="177"/>
      <c r="F185" s="177"/>
      <c r="G185" s="177"/>
      <c r="H185" s="177"/>
    </row>
    <row r="186" spans="1:8" ht="89.25" thickBot="1">
      <c r="A186" s="178" t="s">
        <v>30</v>
      </c>
      <c r="B186" s="180" t="s">
        <v>50</v>
      </c>
      <c r="C186" s="183" t="s">
        <v>111</v>
      </c>
      <c r="D186" s="172" t="s">
        <v>24</v>
      </c>
      <c r="E186" s="173"/>
      <c r="F186" s="174"/>
      <c r="G186" s="180" t="s">
        <v>51</v>
      </c>
      <c r="H186" s="180" t="s">
        <v>112</v>
      </c>
    </row>
    <row r="187" spans="1:8" ht="89.25" thickBot="1">
      <c r="A187" s="179"/>
      <c r="B187" s="181"/>
      <c r="C187" s="184"/>
      <c r="D187" s="40" t="s">
        <v>0</v>
      </c>
      <c r="E187" s="41" t="s">
        <v>1</v>
      </c>
      <c r="F187" s="41" t="s">
        <v>2</v>
      </c>
      <c r="G187" s="181"/>
      <c r="H187" s="181"/>
    </row>
    <row r="188" spans="1:8" ht="89.25" thickBot="1">
      <c r="A188" s="148">
        <v>1</v>
      </c>
      <c r="B188" s="43">
        <v>2</v>
      </c>
      <c r="C188" s="44">
        <v>3</v>
      </c>
      <c r="D188" s="63">
        <v>4</v>
      </c>
      <c r="E188" s="43">
        <v>5</v>
      </c>
      <c r="F188" s="43">
        <v>6</v>
      </c>
      <c r="G188" s="43">
        <v>7</v>
      </c>
      <c r="H188" s="43">
        <v>8</v>
      </c>
    </row>
    <row r="189" spans="1:8" ht="89.25" thickBot="1">
      <c r="A189" s="172" t="s">
        <v>5</v>
      </c>
      <c r="B189" s="173"/>
      <c r="C189" s="173"/>
      <c r="D189" s="173"/>
      <c r="E189" s="173"/>
      <c r="F189" s="173"/>
      <c r="G189" s="173"/>
      <c r="H189" s="174"/>
    </row>
    <row r="190" spans="1:8" ht="266.25" thickBot="1">
      <c r="A190" s="54">
        <v>84</v>
      </c>
      <c r="B190" s="26" t="s">
        <v>204</v>
      </c>
      <c r="C190" s="34">
        <v>180</v>
      </c>
      <c r="D190" s="48">
        <v>5.38</v>
      </c>
      <c r="E190" s="48">
        <v>6.9</v>
      </c>
      <c r="F190" s="48">
        <v>22.3</v>
      </c>
      <c r="G190" s="48">
        <v>173</v>
      </c>
      <c r="H190" s="48">
        <v>1.77</v>
      </c>
    </row>
    <row r="191" spans="1:8" ht="89.25" thickBot="1">
      <c r="A191" s="54">
        <v>15</v>
      </c>
      <c r="B191" s="50" t="s">
        <v>224</v>
      </c>
      <c r="C191" s="34">
        <v>200</v>
      </c>
      <c r="D191" s="52">
        <v>3.12</v>
      </c>
      <c r="E191" s="52">
        <v>3.39</v>
      </c>
      <c r="F191" s="52">
        <v>15.81</v>
      </c>
      <c r="G191" s="52">
        <v>106</v>
      </c>
      <c r="H191" s="52">
        <v>1.3</v>
      </c>
    </row>
    <row r="192" spans="1:8" ht="177.75" thickBot="1">
      <c r="A192" s="47">
        <v>3</v>
      </c>
      <c r="B192" s="24" t="s">
        <v>38</v>
      </c>
      <c r="C192" s="51" t="s">
        <v>260</v>
      </c>
      <c r="D192" s="52">
        <v>4.72</v>
      </c>
      <c r="E192" s="52">
        <v>7.31</v>
      </c>
      <c r="F192" s="52">
        <v>12.36</v>
      </c>
      <c r="G192" s="52">
        <v>135</v>
      </c>
      <c r="H192" s="52">
        <v>0.08</v>
      </c>
    </row>
    <row r="193" spans="1:8" ht="89.25" thickBot="1">
      <c r="A193" s="47"/>
      <c r="B193" s="24" t="s">
        <v>6</v>
      </c>
      <c r="C193" s="34">
        <f aca="true" t="shared" si="13" ref="C193:H193">C190+C191+C192</f>
        <v>422</v>
      </c>
      <c r="D193" s="52">
        <f t="shared" si="13"/>
        <v>13.219999999999999</v>
      </c>
      <c r="E193" s="52">
        <f t="shared" si="13"/>
        <v>17.6</v>
      </c>
      <c r="F193" s="52">
        <f t="shared" si="13"/>
        <v>50.47</v>
      </c>
      <c r="G193" s="52">
        <f t="shared" si="13"/>
        <v>414</v>
      </c>
      <c r="H193" s="52">
        <f t="shared" si="13"/>
        <v>3.1500000000000004</v>
      </c>
    </row>
    <row r="194" spans="1:8" ht="89.25" thickBot="1">
      <c r="A194" s="172" t="s">
        <v>53</v>
      </c>
      <c r="B194" s="173"/>
      <c r="C194" s="173"/>
      <c r="D194" s="173"/>
      <c r="E194" s="173"/>
      <c r="F194" s="173"/>
      <c r="G194" s="173"/>
      <c r="H194" s="174"/>
    </row>
    <row r="195" spans="1:8" ht="89.25" thickBot="1">
      <c r="A195" s="47" t="s">
        <v>32</v>
      </c>
      <c r="B195" s="24" t="s">
        <v>182</v>
      </c>
      <c r="C195" s="53" t="s">
        <v>27</v>
      </c>
      <c r="D195" s="52">
        <v>0.3</v>
      </c>
      <c r="E195" s="52">
        <v>0.17</v>
      </c>
      <c r="F195" s="52">
        <v>15.17</v>
      </c>
      <c r="G195" s="52">
        <v>69</v>
      </c>
      <c r="H195" s="52">
        <v>3</v>
      </c>
    </row>
    <row r="196" spans="1:8" ht="89.25" thickBot="1">
      <c r="A196" s="47"/>
      <c r="B196" s="24" t="s">
        <v>6</v>
      </c>
      <c r="C196" s="51" t="s">
        <v>27</v>
      </c>
      <c r="D196" s="52">
        <f>SUM(D195)</f>
        <v>0.3</v>
      </c>
      <c r="E196" s="52">
        <f>SUM(E195)</f>
        <v>0.17</v>
      </c>
      <c r="F196" s="52">
        <f>SUM(F195)</f>
        <v>15.17</v>
      </c>
      <c r="G196" s="52">
        <f>SUM(G195)</f>
        <v>69</v>
      </c>
      <c r="H196" s="52">
        <f>SUM(H195)</f>
        <v>3</v>
      </c>
    </row>
    <row r="197" spans="1:8" ht="89.25" thickBot="1">
      <c r="A197" s="185" t="s">
        <v>31</v>
      </c>
      <c r="B197" s="186"/>
      <c r="C197" s="186"/>
      <c r="D197" s="186"/>
      <c r="E197" s="186"/>
      <c r="F197" s="186"/>
      <c r="G197" s="186"/>
      <c r="H197" s="187"/>
    </row>
    <row r="198" spans="1:8" ht="89.25" thickBot="1">
      <c r="A198" s="54">
        <v>51</v>
      </c>
      <c r="B198" s="24" t="s">
        <v>226</v>
      </c>
      <c r="C198" s="53" t="s">
        <v>34</v>
      </c>
      <c r="D198" s="52">
        <v>0.93</v>
      </c>
      <c r="E198" s="52">
        <v>4.88</v>
      </c>
      <c r="F198" s="52">
        <v>5.53</v>
      </c>
      <c r="G198" s="52">
        <v>70</v>
      </c>
      <c r="H198" s="52">
        <v>2.2</v>
      </c>
    </row>
    <row r="199" spans="1:8" ht="266.25" thickBot="1">
      <c r="A199" s="47">
        <v>25</v>
      </c>
      <c r="B199" s="24" t="s">
        <v>39</v>
      </c>
      <c r="C199" s="51" t="s">
        <v>25</v>
      </c>
      <c r="D199" s="52">
        <v>3.28</v>
      </c>
      <c r="E199" s="52">
        <v>4.8</v>
      </c>
      <c r="F199" s="52">
        <v>16.76</v>
      </c>
      <c r="G199" s="52">
        <v>116.11</v>
      </c>
      <c r="H199" s="52">
        <v>6.57</v>
      </c>
    </row>
    <row r="200" spans="1:8" ht="177.75" thickBot="1">
      <c r="A200" s="47">
        <v>81</v>
      </c>
      <c r="B200" s="24" t="s">
        <v>209</v>
      </c>
      <c r="C200" s="34">
        <v>220</v>
      </c>
      <c r="D200" s="52">
        <v>3.36</v>
      </c>
      <c r="E200" s="52">
        <v>7.06</v>
      </c>
      <c r="F200" s="52">
        <v>13.73</v>
      </c>
      <c r="G200" s="52">
        <v>139.92</v>
      </c>
      <c r="H200" s="52">
        <v>17.88</v>
      </c>
    </row>
    <row r="201" spans="1:8" ht="89.25" thickBot="1">
      <c r="A201" s="35">
        <v>66</v>
      </c>
      <c r="B201" s="56" t="s">
        <v>146</v>
      </c>
      <c r="C201" s="51" t="s">
        <v>25</v>
      </c>
      <c r="D201" s="48">
        <v>0.68</v>
      </c>
      <c r="E201" s="48">
        <v>0.28</v>
      </c>
      <c r="F201" s="48">
        <v>22.63</v>
      </c>
      <c r="G201" s="48">
        <v>109</v>
      </c>
      <c r="H201" s="48">
        <v>200</v>
      </c>
    </row>
    <row r="202" spans="1:8" ht="177.75" thickBot="1">
      <c r="A202" s="47" t="s">
        <v>32</v>
      </c>
      <c r="B202" s="24" t="s">
        <v>56</v>
      </c>
      <c r="C202" s="34">
        <v>25</v>
      </c>
      <c r="D202" s="52">
        <v>2</v>
      </c>
      <c r="E202" s="52">
        <v>0.25</v>
      </c>
      <c r="F202" s="52">
        <v>12.05</v>
      </c>
      <c r="G202" s="52">
        <v>59</v>
      </c>
      <c r="H202" s="52">
        <v>0</v>
      </c>
    </row>
    <row r="203" spans="1:8" ht="177.75" thickBot="1">
      <c r="A203" s="47" t="s">
        <v>32</v>
      </c>
      <c r="B203" s="24" t="s">
        <v>58</v>
      </c>
      <c r="C203" s="34">
        <v>50</v>
      </c>
      <c r="D203" s="52">
        <v>2.8</v>
      </c>
      <c r="E203" s="52">
        <v>0.6</v>
      </c>
      <c r="F203" s="52">
        <v>24.7</v>
      </c>
      <c r="G203" s="52">
        <v>116</v>
      </c>
      <c r="H203" s="52">
        <v>0</v>
      </c>
    </row>
    <row r="204" spans="1:8" ht="89.25" thickBot="1">
      <c r="A204" s="47"/>
      <c r="B204" s="24" t="s">
        <v>29</v>
      </c>
      <c r="C204" s="34">
        <f aca="true" t="shared" si="14" ref="C204:H204">C198+C199+C200+C201+C202+C203</f>
        <v>755</v>
      </c>
      <c r="D204" s="52">
        <f t="shared" si="14"/>
        <v>13.05</v>
      </c>
      <c r="E204" s="52">
        <f t="shared" si="14"/>
        <v>17.87</v>
      </c>
      <c r="F204" s="52">
        <f t="shared" si="14"/>
        <v>95.4</v>
      </c>
      <c r="G204" s="52">
        <f t="shared" si="14"/>
        <v>610.03</v>
      </c>
      <c r="H204" s="52">
        <f t="shared" si="14"/>
        <v>226.65</v>
      </c>
    </row>
    <row r="205" spans="1:8" ht="89.25" thickBot="1">
      <c r="A205" s="172" t="s">
        <v>145</v>
      </c>
      <c r="B205" s="173"/>
      <c r="C205" s="173"/>
      <c r="D205" s="173"/>
      <c r="E205" s="173"/>
      <c r="F205" s="173"/>
      <c r="G205" s="173"/>
      <c r="H205" s="174"/>
    </row>
    <row r="206" spans="1:8" ht="266.25" thickBot="1">
      <c r="A206" s="55">
        <v>21.1</v>
      </c>
      <c r="B206" s="56" t="s">
        <v>172</v>
      </c>
      <c r="C206" s="51" t="s">
        <v>115</v>
      </c>
      <c r="D206" s="48">
        <v>5.22</v>
      </c>
      <c r="E206" s="48">
        <v>5.76</v>
      </c>
      <c r="F206" s="48">
        <v>7.2</v>
      </c>
      <c r="G206" s="48">
        <v>106.2</v>
      </c>
      <c r="H206" s="48">
        <v>1.26</v>
      </c>
    </row>
    <row r="207" spans="1:8" ht="266.25" thickBot="1">
      <c r="A207" s="47">
        <v>24</v>
      </c>
      <c r="B207" s="24" t="s">
        <v>104</v>
      </c>
      <c r="C207" s="51" t="s">
        <v>270</v>
      </c>
      <c r="D207" s="52">
        <v>1.69</v>
      </c>
      <c r="E207" s="52">
        <v>2.25</v>
      </c>
      <c r="F207" s="52">
        <v>39.39</v>
      </c>
      <c r="G207" s="52">
        <v>163.14</v>
      </c>
      <c r="H207" s="52">
        <v>0</v>
      </c>
    </row>
    <row r="208" spans="1:8" ht="89.25" thickBot="1">
      <c r="A208" s="54"/>
      <c r="B208" s="24" t="s">
        <v>29</v>
      </c>
      <c r="C208" s="34">
        <f aca="true" t="shared" si="15" ref="C208:H208">C206+C207</f>
        <v>255</v>
      </c>
      <c r="D208" s="52">
        <f t="shared" si="15"/>
        <v>6.91</v>
      </c>
      <c r="E208" s="52">
        <f t="shared" si="15"/>
        <v>8.01</v>
      </c>
      <c r="F208" s="52">
        <f t="shared" si="15"/>
        <v>46.59</v>
      </c>
      <c r="G208" s="52">
        <f t="shared" si="15"/>
        <v>269.34</v>
      </c>
      <c r="H208" s="52">
        <f t="shared" si="15"/>
        <v>1.26</v>
      </c>
    </row>
    <row r="209" spans="1:8" ht="89.25" thickBot="1">
      <c r="A209" s="185" t="s">
        <v>144</v>
      </c>
      <c r="B209" s="186"/>
      <c r="C209" s="186"/>
      <c r="D209" s="186"/>
      <c r="E209" s="186"/>
      <c r="F209" s="186"/>
      <c r="G209" s="186"/>
      <c r="H209" s="187"/>
    </row>
    <row r="210" spans="1:8" ht="177.75" thickBot="1">
      <c r="A210" s="64">
        <v>49</v>
      </c>
      <c r="B210" s="65" t="s">
        <v>166</v>
      </c>
      <c r="C210" s="77" t="s">
        <v>247</v>
      </c>
      <c r="D210" s="67">
        <v>35.51</v>
      </c>
      <c r="E210" s="67">
        <v>23.1</v>
      </c>
      <c r="F210" s="67">
        <v>46.25</v>
      </c>
      <c r="G210" s="67">
        <v>555</v>
      </c>
      <c r="H210" s="67">
        <v>0.6</v>
      </c>
    </row>
    <row r="211" spans="1:8" ht="89.25" thickBot="1">
      <c r="A211" s="54">
        <v>13</v>
      </c>
      <c r="B211" s="50" t="s">
        <v>7</v>
      </c>
      <c r="C211" s="34">
        <v>200</v>
      </c>
      <c r="D211" s="52">
        <v>0</v>
      </c>
      <c r="E211" s="52">
        <v>0</v>
      </c>
      <c r="F211" s="52">
        <v>11.98</v>
      </c>
      <c r="G211" s="52">
        <v>45</v>
      </c>
      <c r="H211" s="52">
        <v>0</v>
      </c>
    </row>
    <row r="212" spans="1:8" ht="177.75" thickBot="1">
      <c r="A212" s="47">
        <v>69</v>
      </c>
      <c r="B212" s="24" t="s">
        <v>106</v>
      </c>
      <c r="C212" s="51" t="s">
        <v>253</v>
      </c>
      <c r="D212" s="52">
        <v>0.34</v>
      </c>
      <c r="E212" s="52">
        <v>0.34</v>
      </c>
      <c r="F212" s="52">
        <v>8.33</v>
      </c>
      <c r="G212" s="52">
        <v>39.95</v>
      </c>
      <c r="H212" s="52">
        <v>8.5</v>
      </c>
    </row>
    <row r="213" spans="1:8" ht="89.25" thickBot="1">
      <c r="A213" s="47"/>
      <c r="B213" s="24" t="s">
        <v>29</v>
      </c>
      <c r="C213" s="34">
        <f aca="true" t="shared" si="16" ref="C213:H213">C210+C211+C212</f>
        <v>520</v>
      </c>
      <c r="D213" s="52">
        <f t="shared" si="16"/>
        <v>35.85</v>
      </c>
      <c r="E213" s="52">
        <f t="shared" si="16"/>
        <v>23.44</v>
      </c>
      <c r="F213" s="52">
        <f t="shared" si="16"/>
        <v>66.56</v>
      </c>
      <c r="G213" s="52">
        <f t="shared" si="16"/>
        <v>639.95</v>
      </c>
      <c r="H213" s="52">
        <f t="shared" si="16"/>
        <v>9.1</v>
      </c>
    </row>
    <row r="214" spans="1:8" ht="89.25" thickBot="1">
      <c r="A214" s="47"/>
      <c r="B214" s="24"/>
      <c r="C214" s="51"/>
      <c r="D214" s="40" t="s">
        <v>0</v>
      </c>
      <c r="E214" s="41" t="s">
        <v>1</v>
      </c>
      <c r="F214" s="41" t="s">
        <v>2</v>
      </c>
      <c r="G214" s="149" t="s">
        <v>3</v>
      </c>
      <c r="H214" s="41" t="s">
        <v>4</v>
      </c>
    </row>
    <row r="215" spans="1:8" ht="89.25" thickBot="1">
      <c r="A215" s="47"/>
      <c r="B215" s="58" t="s">
        <v>10</v>
      </c>
      <c r="C215" s="51"/>
      <c r="D215" s="52">
        <f>D193+D196+D204+D208+D213</f>
        <v>69.33000000000001</v>
      </c>
      <c r="E215" s="52">
        <f>E193+E196+E204+E208+E213</f>
        <v>67.09</v>
      </c>
      <c r="F215" s="52">
        <f>F193+F196+F204+F208+F213</f>
        <v>274.19000000000005</v>
      </c>
      <c r="G215" s="52">
        <f>G193+G196+G204+G208+G213</f>
        <v>2002.32</v>
      </c>
      <c r="H215" s="52">
        <f>H193+H196+H204+H208+H213</f>
        <v>243.16</v>
      </c>
    </row>
    <row r="216" spans="1:8" ht="89.25" thickBot="1">
      <c r="A216" s="47"/>
      <c r="B216" s="58" t="s">
        <v>11</v>
      </c>
      <c r="C216" s="51"/>
      <c r="D216" s="52">
        <v>54</v>
      </c>
      <c r="E216" s="52">
        <v>60</v>
      </c>
      <c r="F216" s="52">
        <v>261</v>
      </c>
      <c r="G216" s="52">
        <v>1800</v>
      </c>
      <c r="H216" s="52">
        <v>50</v>
      </c>
    </row>
    <row r="217" spans="1:8" ht="263.25" thickBot="1">
      <c r="A217" s="42"/>
      <c r="B217" s="59" t="s">
        <v>12</v>
      </c>
      <c r="C217" s="41"/>
      <c r="D217" s="60">
        <f>D215*100/D216</f>
        <v>128.3888888888889</v>
      </c>
      <c r="E217" s="60">
        <f>E215*100/E216</f>
        <v>111.81666666666666</v>
      </c>
      <c r="F217" s="60">
        <f>F215*100/F216</f>
        <v>105.05363984674332</v>
      </c>
      <c r="G217" s="60">
        <f>G215*100/G216</f>
        <v>111.24</v>
      </c>
      <c r="H217" s="60">
        <f>H215*100/H216</f>
        <v>486.32</v>
      </c>
    </row>
    <row r="218" spans="1:8" ht="88.5">
      <c r="A218" s="61"/>
      <c r="B218" s="147"/>
      <c r="C218" s="146"/>
      <c r="D218" s="62"/>
      <c r="E218" s="62"/>
      <c r="F218" s="62"/>
      <c r="G218" s="62"/>
      <c r="H218" s="62"/>
    </row>
    <row r="219" spans="1:8" ht="88.5">
      <c r="A219" s="61"/>
      <c r="B219" s="38" t="s">
        <v>68</v>
      </c>
      <c r="C219" s="38"/>
      <c r="E219" s="62"/>
      <c r="F219" s="62"/>
      <c r="G219" s="62"/>
      <c r="H219" s="62"/>
    </row>
    <row r="220" spans="1:2" ht="102">
      <c r="A220" s="61"/>
      <c r="B220" s="38" t="s">
        <v>271</v>
      </c>
    </row>
    <row r="221" spans="1:2" ht="88.5">
      <c r="A221" s="61"/>
      <c r="B221" s="38" t="s">
        <v>67</v>
      </c>
    </row>
    <row r="222" spans="1:2" ht="88.5">
      <c r="A222" s="61"/>
      <c r="B222" s="38" t="s">
        <v>151</v>
      </c>
    </row>
    <row r="223" spans="1:8" ht="88.5">
      <c r="A223" s="61"/>
      <c r="B223" s="147"/>
      <c r="C223" s="146"/>
      <c r="D223" s="62"/>
      <c r="E223" s="62"/>
      <c r="F223" s="62"/>
      <c r="G223" s="62"/>
      <c r="H223" s="62"/>
    </row>
    <row r="224" spans="1:8" ht="88.5">
      <c r="A224" s="175" t="s">
        <v>192</v>
      </c>
      <c r="B224" s="175"/>
      <c r="C224" s="175"/>
      <c r="D224" s="175"/>
      <c r="E224" s="175"/>
      <c r="F224" s="175"/>
      <c r="G224" s="175"/>
      <c r="H224" s="175"/>
    </row>
    <row r="225" spans="1:8" ht="88.5">
      <c r="A225" s="175" t="s">
        <v>52</v>
      </c>
      <c r="B225" s="175"/>
      <c r="C225" s="175"/>
      <c r="D225" s="175"/>
      <c r="E225" s="175"/>
      <c r="F225" s="175"/>
      <c r="G225" s="175"/>
      <c r="H225" s="175"/>
    </row>
    <row r="226" spans="1:8" ht="88.5">
      <c r="A226" s="176" t="s">
        <v>49</v>
      </c>
      <c r="B226" s="176"/>
      <c r="C226" s="176"/>
      <c r="D226" s="176"/>
      <c r="E226" s="176"/>
      <c r="F226" s="176"/>
      <c r="G226" s="176"/>
      <c r="H226" s="176"/>
    </row>
    <row r="227" spans="1:8" ht="89.25" thickBot="1">
      <c r="A227" s="177"/>
      <c r="B227" s="177"/>
      <c r="C227" s="177"/>
      <c r="D227" s="177"/>
      <c r="E227" s="177"/>
      <c r="F227" s="177"/>
      <c r="G227" s="177"/>
      <c r="H227" s="177"/>
    </row>
    <row r="228" spans="1:8" ht="89.25" thickBot="1">
      <c r="A228" s="178" t="s">
        <v>30</v>
      </c>
      <c r="B228" s="180" t="s">
        <v>50</v>
      </c>
      <c r="C228" s="183" t="s">
        <v>111</v>
      </c>
      <c r="D228" s="172" t="s">
        <v>24</v>
      </c>
      <c r="E228" s="173"/>
      <c r="F228" s="174"/>
      <c r="G228" s="180" t="s">
        <v>51</v>
      </c>
      <c r="H228" s="180" t="s">
        <v>112</v>
      </c>
    </row>
    <row r="229" spans="1:8" ht="89.25" thickBot="1">
      <c r="A229" s="179"/>
      <c r="B229" s="181"/>
      <c r="C229" s="184"/>
      <c r="D229" s="40" t="s">
        <v>0</v>
      </c>
      <c r="E229" s="41" t="s">
        <v>1</v>
      </c>
      <c r="F229" s="41" t="s">
        <v>2</v>
      </c>
      <c r="G229" s="181"/>
      <c r="H229" s="181"/>
    </row>
    <row r="230" spans="1:8" ht="89.25" thickBot="1">
      <c r="A230" s="148">
        <v>1</v>
      </c>
      <c r="B230" s="43">
        <v>2</v>
      </c>
      <c r="C230" s="44">
        <v>3</v>
      </c>
      <c r="D230" s="63">
        <v>4</v>
      </c>
      <c r="E230" s="43">
        <v>5</v>
      </c>
      <c r="F230" s="43">
        <v>6</v>
      </c>
      <c r="G230" s="43">
        <v>7</v>
      </c>
      <c r="H230" s="43">
        <v>8</v>
      </c>
    </row>
    <row r="231" spans="1:8" ht="89.25" thickBot="1">
      <c r="A231" s="172" t="s">
        <v>5</v>
      </c>
      <c r="B231" s="173"/>
      <c r="C231" s="173"/>
      <c r="D231" s="173"/>
      <c r="E231" s="173"/>
      <c r="F231" s="173"/>
      <c r="G231" s="173"/>
      <c r="H231" s="174"/>
    </row>
    <row r="232" spans="1:8" ht="177.75" thickBot="1">
      <c r="A232" s="47">
        <v>43</v>
      </c>
      <c r="B232" s="24" t="s">
        <v>165</v>
      </c>
      <c r="C232" s="34">
        <v>150</v>
      </c>
      <c r="D232" s="52">
        <v>8.5</v>
      </c>
      <c r="E232" s="52">
        <v>7.01</v>
      </c>
      <c r="F232" s="52">
        <v>38.31</v>
      </c>
      <c r="G232" s="52">
        <v>248.34</v>
      </c>
      <c r="H232" s="52">
        <v>0</v>
      </c>
    </row>
    <row r="233" spans="1:8" ht="89.25" thickBot="1">
      <c r="A233" s="54">
        <v>41</v>
      </c>
      <c r="B233" s="24" t="s">
        <v>101</v>
      </c>
      <c r="C233" s="53" t="s">
        <v>34</v>
      </c>
      <c r="D233" s="52">
        <v>0.72</v>
      </c>
      <c r="E233" s="52">
        <v>2.84</v>
      </c>
      <c r="F233" s="52">
        <v>4.64</v>
      </c>
      <c r="G233" s="52">
        <v>46.8</v>
      </c>
      <c r="H233" s="52">
        <v>5.76</v>
      </c>
    </row>
    <row r="234" spans="1:8" ht="89.25" thickBot="1">
      <c r="A234" s="54">
        <v>13</v>
      </c>
      <c r="B234" s="50" t="s">
        <v>7</v>
      </c>
      <c r="C234" s="34">
        <v>200</v>
      </c>
      <c r="D234" s="52">
        <v>0</v>
      </c>
      <c r="E234" s="52">
        <v>0</v>
      </c>
      <c r="F234" s="52">
        <v>11.98</v>
      </c>
      <c r="G234" s="52">
        <v>45</v>
      </c>
      <c r="H234" s="52">
        <v>0</v>
      </c>
    </row>
    <row r="235" spans="1:8" ht="89.25" thickBot="1">
      <c r="A235" s="47">
        <v>16</v>
      </c>
      <c r="B235" s="24" t="s">
        <v>36</v>
      </c>
      <c r="C235" s="53" t="s">
        <v>155</v>
      </c>
      <c r="D235" s="52">
        <v>1.94</v>
      </c>
      <c r="E235" s="52">
        <v>3.77</v>
      </c>
      <c r="F235" s="52">
        <v>12.36</v>
      </c>
      <c r="G235" s="52">
        <v>91</v>
      </c>
      <c r="H235" s="52">
        <v>0</v>
      </c>
    </row>
    <row r="236" spans="1:8" ht="89.25" thickBot="1">
      <c r="A236" s="47"/>
      <c r="B236" s="24" t="s">
        <v>6</v>
      </c>
      <c r="C236" s="35">
        <f>C232+C233+C234+C235</f>
        <v>440</v>
      </c>
      <c r="D236" s="52">
        <f>SUM(D232:D235)</f>
        <v>11.16</v>
      </c>
      <c r="E236" s="52">
        <f>SUM(E232:E235)</f>
        <v>13.62</v>
      </c>
      <c r="F236" s="52">
        <f>SUM(F232:F235)</f>
        <v>67.29</v>
      </c>
      <c r="G236" s="52">
        <f>SUM(G232:G235)</f>
        <v>431.14</v>
      </c>
      <c r="H236" s="52">
        <f>SUM(H232:H235)</f>
        <v>5.76</v>
      </c>
    </row>
    <row r="237" spans="1:8" ht="89.25" thickBot="1">
      <c r="A237" s="172" t="s">
        <v>53</v>
      </c>
      <c r="B237" s="173"/>
      <c r="C237" s="173"/>
      <c r="D237" s="173"/>
      <c r="E237" s="173"/>
      <c r="F237" s="173"/>
      <c r="G237" s="173"/>
      <c r="H237" s="174"/>
    </row>
    <row r="238" spans="1:8" ht="89.25" thickBot="1">
      <c r="A238" s="47" t="s">
        <v>32</v>
      </c>
      <c r="B238" s="24" t="s">
        <v>182</v>
      </c>
      <c r="C238" s="53" t="s">
        <v>27</v>
      </c>
      <c r="D238" s="52">
        <v>0.3</v>
      </c>
      <c r="E238" s="52">
        <v>0.17</v>
      </c>
      <c r="F238" s="52">
        <v>15.17</v>
      </c>
      <c r="G238" s="52">
        <v>69</v>
      </c>
      <c r="H238" s="52">
        <v>3</v>
      </c>
    </row>
    <row r="239" spans="1:8" ht="89.25" thickBot="1">
      <c r="A239" s="47"/>
      <c r="B239" s="24" t="s">
        <v>6</v>
      </c>
      <c r="C239" s="51" t="s">
        <v>27</v>
      </c>
      <c r="D239" s="52">
        <f>SUM(D238)</f>
        <v>0.3</v>
      </c>
      <c r="E239" s="52">
        <f>SUM(E238)</f>
        <v>0.17</v>
      </c>
      <c r="F239" s="52">
        <f>SUM(F238)</f>
        <v>15.17</v>
      </c>
      <c r="G239" s="52">
        <f>SUM(G238)</f>
        <v>69</v>
      </c>
      <c r="H239" s="52">
        <f>SUM(H238)</f>
        <v>3</v>
      </c>
    </row>
    <row r="240" spans="1:8" ht="89.25" thickBot="1">
      <c r="A240" s="172" t="s">
        <v>8</v>
      </c>
      <c r="B240" s="173"/>
      <c r="C240" s="173"/>
      <c r="D240" s="173"/>
      <c r="E240" s="173"/>
      <c r="F240" s="173"/>
      <c r="G240" s="173"/>
      <c r="H240" s="174"/>
    </row>
    <row r="241" spans="1:8" ht="177.75" thickBot="1">
      <c r="A241" s="54">
        <v>12</v>
      </c>
      <c r="B241" s="24" t="s">
        <v>227</v>
      </c>
      <c r="C241" s="34">
        <v>60</v>
      </c>
      <c r="D241" s="52">
        <v>0.93</v>
      </c>
      <c r="E241" s="52">
        <v>6.03</v>
      </c>
      <c r="F241" s="52">
        <v>6.2</v>
      </c>
      <c r="G241" s="52">
        <v>86.67</v>
      </c>
      <c r="H241" s="52">
        <v>2.69</v>
      </c>
    </row>
    <row r="242" spans="1:8" ht="177.75" thickBot="1">
      <c r="A242" s="47">
        <v>47</v>
      </c>
      <c r="B242" s="24" t="s">
        <v>75</v>
      </c>
      <c r="C242" s="51" t="s">
        <v>25</v>
      </c>
      <c r="D242" s="52">
        <v>6.34</v>
      </c>
      <c r="E242" s="52">
        <v>4.12</v>
      </c>
      <c r="F242" s="52">
        <v>17.51</v>
      </c>
      <c r="G242" s="52">
        <v>118.87</v>
      </c>
      <c r="H242" s="52">
        <v>4.83</v>
      </c>
    </row>
    <row r="243" spans="1:8" ht="89.25" thickBot="1">
      <c r="A243" s="64">
        <v>80</v>
      </c>
      <c r="B243" s="65" t="s">
        <v>173</v>
      </c>
      <c r="C243" s="66">
        <v>90</v>
      </c>
      <c r="D243" s="67">
        <v>17.49</v>
      </c>
      <c r="E243" s="67">
        <v>16.33</v>
      </c>
      <c r="F243" s="67">
        <v>2.32</v>
      </c>
      <c r="G243" s="67">
        <v>225</v>
      </c>
      <c r="H243" s="67">
        <v>0.34</v>
      </c>
    </row>
    <row r="244" spans="1:8" ht="177.75" thickBot="1">
      <c r="A244" s="64">
        <v>42</v>
      </c>
      <c r="B244" s="65" t="s">
        <v>152</v>
      </c>
      <c r="C244" s="66">
        <v>150</v>
      </c>
      <c r="D244" s="67">
        <v>5.42</v>
      </c>
      <c r="E244" s="67">
        <v>4.82</v>
      </c>
      <c r="F244" s="67">
        <v>31.78</v>
      </c>
      <c r="G244" s="67">
        <v>184</v>
      </c>
      <c r="H244" s="67">
        <v>0</v>
      </c>
    </row>
    <row r="245" spans="1:9" ht="89.25" thickBot="1">
      <c r="A245" s="47">
        <v>9</v>
      </c>
      <c r="B245" s="24" t="s">
        <v>43</v>
      </c>
      <c r="C245" s="34">
        <v>200</v>
      </c>
      <c r="D245" s="52">
        <v>0.4</v>
      </c>
      <c r="E245" s="52">
        <v>0</v>
      </c>
      <c r="F245" s="52">
        <v>21</v>
      </c>
      <c r="G245" s="52">
        <v>88</v>
      </c>
      <c r="H245" s="52">
        <v>0.36</v>
      </c>
      <c r="I245" s="46"/>
    </row>
    <row r="246" spans="1:9" ht="177.75" thickBot="1">
      <c r="A246" s="47" t="s">
        <v>32</v>
      </c>
      <c r="B246" s="24" t="s">
        <v>56</v>
      </c>
      <c r="C246" s="34">
        <v>25</v>
      </c>
      <c r="D246" s="52">
        <v>2</v>
      </c>
      <c r="E246" s="52">
        <v>0.25</v>
      </c>
      <c r="F246" s="52">
        <v>12.05</v>
      </c>
      <c r="G246" s="52">
        <v>59</v>
      </c>
      <c r="H246" s="52">
        <v>0</v>
      </c>
      <c r="I246" s="46"/>
    </row>
    <row r="247" spans="1:9" s="46" customFormat="1" ht="177.75" thickBot="1">
      <c r="A247" s="47" t="s">
        <v>32</v>
      </c>
      <c r="B247" s="24" t="s">
        <v>58</v>
      </c>
      <c r="C247" s="34">
        <v>50</v>
      </c>
      <c r="D247" s="52">
        <v>2.8</v>
      </c>
      <c r="E247" s="52">
        <v>0.6</v>
      </c>
      <c r="F247" s="52">
        <v>24.7</v>
      </c>
      <c r="G247" s="52">
        <v>116</v>
      </c>
      <c r="H247" s="52">
        <v>0</v>
      </c>
      <c r="I247" s="38"/>
    </row>
    <row r="248" spans="1:8" ht="89.25" thickBot="1">
      <c r="A248" s="54"/>
      <c r="B248" s="26" t="s">
        <v>29</v>
      </c>
      <c r="C248" s="34">
        <f aca="true" t="shared" si="17" ref="C248:H248">C241+C242+C243+C244+C245+C246+C247</f>
        <v>775</v>
      </c>
      <c r="D248" s="48">
        <f t="shared" si="17"/>
        <v>35.379999999999995</v>
      </c>
      <c r="E248" s="48">
        <f t="shared" si="17"/>
        <v>32.15</v>
      </c>
      <c r="F248" s="48">
        <f t="shared" si="17"/>
        <v>115.56</v>
      </c>
      <c r="G248" s="48">
        <f t="shared" si="17"/>
        <v>877.54</v>
      </c>
      <c r="H248" s="48">
        <f t="shared" si="17"/>
        <v>8.219999999999999</v>
      </c>
    </row>
    <row r="249" spans="1:8" ht="89.25" thickBot="1">
      <c r="A249" s="172" t="s">
        <v>145</v>
      </c>
      <c r="B249" s="173"/>
      <c r="C249" s="173"/>
      <c r="D249" s="173"/>
      <c r="E249" s="173"/>
      <c r="F249" s="173"/>
      <c r="G249" s="173"/>
      <c r="H249" s="174"/>
    </row>
    <row r="250" spans="1:8" ht="266.25" thickBot="1">
      <c r="A250" s="55">
        <v>21.1</v>
      </c>
      <c r="B250" s="56" t="s">
        <v>172</v>
      </c>
      <c r="C250" s="51" t="s">
        <v>115</v>
      </c>
      <c r="D250" s="48">
        <v>5.22</v>
      </c>
      <c r="E250" s="48">
        <v>5.76</v>
      </c>
      <c r="F250" s="48">
        <v>7.2</v>
      </c>
      <c r="G250" s="48">
        <v>106.2</v>
      </c>
      <c r="H250" s="48">
        <v>1.26</v>
      </c>
    </row>
    <row r="251" spans="1:8" ht="266.25" thickBot="1">
      <c r="A251" s="47">
        <v>24</v>
      </c>
      <c r="B251" s="24" t="s">
        <v>104</v>
      </c>
      <c r="C251" s="51" t="s">
        <v>270</v>
      </c>
      <c r="D251" s="52">
        <v>1.69</v>
      </c>
      <c r="E251" s="52">
        <v>2.25</v>
      </c>
      <c r="F251" s="52">
        <v>39.39</v>
      </c>
      <c r="G251" s="52">
        <v>163.14</v>
      </c>
      <c r="H251" s="52">
        <v>0</v>
      </c>
    </row>
    <row r="252" spans="1:8" ht="89.25" thickBot="1">
      <c r="A252" s="54"/>
      <c r="B252" s="24" t="s">
        <v>29</v>
      </c>
      <c r="C252" s="34">
        <f aca="true" t="shared" si="18" ref="C252:H252">C250+C251</f>
        <v>255</v>
      </c>
      <c r="D252" s="52">
        <f t="shared" si="18"/>
        <v>6.91</v>
      </c>
      <c r="E252" s="52">
        <f t="shared" si="18"/>
        <v>8.01</v>
      </c>
      <c r="F252" s="52">
        <f t="shared" si="18"/>
        <v>46.59</v>
      </c>
      <c r="G252" s="52">
        <f t="shared" si="18"/>
        <v>269.34</v>
      </c>
      <c r="H252" s="52">
        <f t="shared" si="18"/>
        <v>1.26</v>
      </c>
    </row>
    <row r="253" spans="1:8" ht="89.25" thickBot="1">
      <c r="A253" s="172" t="s">
        <v>144</v>
      </c>
      <c r="B253" s="173"/>
      <c r="C253" s="173"/>
      <c r="D253" s="173"/>
      <c r="E253" s="173"/>
      <c r="F253" s="173"/>
      <c r="G253" s="173"/>
      <c r="H253" s="174"/>
    </row>
    <row r="254" spans="1:8" ht="177.75" thickBot="1">
      <c r="A254" s="54">
        <v>23</v>
      </c>
      <c r="B254" s="26" t="s">
        <v>162</v>
      </c>
      <c r="C254" s="51" t="s">
        <v>115</v>
      </c>
      <c r="D254" s="48">
        <v>6.07</v>
      </c>
      <c r="E254" s="48">
        <v>6.08</v>
      </c>
      <c r="F254" s="48">
        <v>26.19</v>
      </c>
      <c r="G254" s="48">
        <v>182</v>
      </c>
      <c r="H254" s="48">
        <v>1.77</v>
      </c>
    </row>
    <row r="255" spans="1:8" ht="177.75" thickBot="1">
      <c r="A255" s="47" t="s">
        <v>32</v>
      </c>
      <c r="B255" s="24" t="s">
        <v>56</v>
      </c>
      <c r="C255" s="34">
        <v>25</v>
      </c>
      <c r="D255" s="52">
        <v>2</v>
      </c>
      <c r="E255" s="52">
        <v>0.25</v>
      </c>
      <c r="F255" s="52">
        <v>12.05</v>
      </c>
      <c r="G255" s="52">
        <v>59</v>
      </c>
      <c r="H255" s="52">
        <v>0</v>
      </c>
    </row>
    <row r="256" spans="1:8" ht="177.75" thickBot="1">
      <c r="A256" s="47">
        <v>69</v>
      </c>
      <c r="B256" s="24" t="s">
        <v>106</v>
      </c>
      <c r="C256" s="51" t="s">
        <v>253</v>
      </c>
      <c r="D256" s="52">
        <v>0.34</v>
      </c>
      <c r="E256" s="52">
        <v>0.34</v>
      </c>
      <c r="F256" s="52">
        <v>8.33</v>
      </c>
      <c r="G256" s="52">
        <v>39.95</v>
      </c>
      <c r="H256" s="52">
        <v>8.5</v>
      </c>
    </row>
    <row r="257" spans="1:8" ht="177.75" thickBot="1">
      <c r="A257" s="47">
        <v>2</v>
      </c>
      <c r="B257" s="24" t="s">
        <v>69</v>
      </c>
      <c r="C257" s="34">
        <v>200</v>
      </c>
      <c r="D257" s="48">
        <v>3.28</v>
      </c>
      <c r="E257" s="48">
        <v>3.44</v>
      </c>
      <c r="F257" s="48">
        <v>15.92</v>
      </c>
      <c r="G257" s="48">
        <v>105</v>
      </c>
      <c r="H257" s="48">
        <v>1.3</v>
      </c>
    </row>
    <row r="258" spans="1:8" ht="89.25" thickBot="1">
      <c r="A258" s="42"/>
      <c r="B258" s="24" t="s">
        <v>6</v>
      </c>
      <c r="C258" s="34">
        <f aca="true" t="shared" si="19" ref="C258:H258">C254+C255+C256+C257</f>
        <v>490</v>
      </c>
      <c r="D258" s="52">
        <f t="shared" si="19"/>
        <v>11.69</v>
      </c>
      <c r="E258" s="52">
        <f t="shared" si="19"/>
        <v>10.11</v>
      </c>
      <c r="F258" s="52">
        <f t="shared" si="19"/>
        <v>62.49</v>
      </c>
      <c r="G258" s="52">
        <f t="shared" si="19"/>
        <v>385.95</v>
      </c>
      <c r="H258" s="52">
        <f t="shared" si="19"/>
        <v>11.57</v>
      </c>
    </row>
    <row r="259" spans="1:8" ht="89.25" thickBot="1">
      <c r="A259" s="47"/>
      <c r="B259" s="24"/>
      <c r="C259" s="51"/>
      <c r="D259" s="40" t="s">
        <v>0</v>
      </c>
      <c r="E259" s="41" t="s">
        <v>1</v>
      </c>
      <c r="F259" s="41" t="s">
        <v>2</v>
      </c>
      <c r="G259" s="149" t="s">
        <v>3</v>
      </c>
      <c r="H259" s="41" t="s">
        <v>4</v>
      </c>
    </row>
    <row r="260" spans="1:8" ht="89.25" thickBot="1">
      <c r="A260" s="47"/>
      <c r="B260" s="58" t="s">
        <v>10</v>
      </c>
      <c r="C260" s="51"/>
      <c r="D260" s="52">
        <f>D236+D239+D248+D252+D258</f>
        <v>65.44</v>
      </c>
      <c r="E260" s="52">
        <f>E236+E239+E248+E252+E258</f>
        <v>64.06</v>
      </c>
      <c r="F260" s="52">
        <f>F236+F239+F248+F252+F258</f>
        <v>307.1</v>
      </c>
      <c r="G260" s="52">
        <f>G236+G239+G248+G252+G258</f>
        <v>2032.9699999999998</v>
      </c>
      <c r="H260" s="52">
        <f>H236+H239+H248+H252+H258</f>
        <v>29.81</v>
      </c>
    </row>
    <row r="261" spans="1:8" ht="89.25" thickBot="1">
      <c r="A261" s="47"/>
      <c r="B261" s="58" t="s">
        <v>11</v>
      </c>
      <c r="C261" s="51"/>
      <c r="D261" s="52">
        <v>54</v>
      </c>
      <c r="E261" s="52">
        <v>60</v>
      </c>
      <c r="F261" s="52">
        <v>261</v>
      </c>
      <c r="G261" s="52">
        <v>1800</v>
      </c>
      <c r="H261" s="52">
        <v>50</v>
      </c>
    </row>
    <row r="262" spans="1:8" ht="263.25" thickBot="1">
      <c r="A262" s="42"/>
      <c r="B262" s="59" t="s">
        <v>12</v>
      </c>
      <c r="C262" s="41"/>
      <c r="D262" s="60">
        <f>D260*100/D261</f>
        <v>121.18518518518519</v>
      </c>
      <c r="E262" s="60">
        <f>E260*100/E261</f>
        <v>106.76666666666667</v>
      </c>
      <c r="F262" s="60">
        <f>F260*100/F261</f>
        <v>117.66283524904216</v>
      </c>
      <c r="G262" s="60">
        <f>G260*100/G261</f>
        <v>112.94277777777776</v>
      </c>
      <c r="H262" s="60">
        <f>H260*100/H261</f>
        <v>59.62</v>
      </c>
    </row>
    <row r="263" spans="1:8" ht="88.5">
      <c r="A263" s="61"/>
      <c r="B263" s="147"/>
      <c r="C263" s="146"/>
      <c r="D263" s="62"/>
      <c r="E263" s="62"/>
      <c r="F263" s="62"/>
      <c r="G263" s="62"/>
      <c r="H263" s="62"/>
    </row>
    <row r="264" spans="1:8" ht="88.5">
      <c r="A264" s="61"/>
      <c r="B264" s="38" t="s">
        <v>68</v>
      </c>
      <c r="C264" s="38"/>
      <c r="E264" s="62"/>
      <c r="F264" s="62"/>
      <c r="G264" s="62"/>
      <c r="H264" s="62"/>
    </row>
    <row r="265" spans="1:2" ht="102">
      <c r="A265" s="61"/>
      <c r="B265" s="38" t="s">
        <v>271</v>
      </c>
    </row>
    <row r="266" spans="1:2" ht="88.5">
      <c r="A266" s="61"/>
      <c r="B266" s="38" t="s">
        <v>67</v>
      </c>
    </row>
    <row r="267" spans="1:2" ht="88.5">
      <c r="A267" s="61"/>
      <c r="B267" s="38" t="s">
        <v>151</v>
      </c>
    </row>
    <row r="268" spans="1:8" ht="88.5">
      <c r="A268" s="61"/>
      <c r="B268" s="147"/>
      <c r="C268" s="146"/>
      <c r="D268" s="62"/>
      <c r="E268" s="62"/>
      <c r="F268" s="62"/>
      <c r="G268" s="62"/>
      <c r="H268" s="62"/>
    </row>
    <row r="269" spans="1:8" ht="88.5">
      <c r="A269" s="175" t="s">
        <v>184</v>
      </c>
      <c r="B269" s="175"/>
      <c r="C269" s="175"/>
      <c r="D269" s="175"/>
      <c r="E269" s="175"/>
      <c r="F269" s="175"/>
      <c r="G269" s="175"/>
      <c r="H269" s="175"/>
    </row>
    <row r="270" spans="1:8" ht="88.5">
      <c r="A270" s="175" t="s">
        <v>52</v>
      </c>
      <c r="B270" s="175"/>
      <c r="C270" s="175"/>
      <c r="D270" s="175"/>
      <c r="E270" s="175"/>
      <c r="F270" s="175"/>
      <c r="G270" s="175"/>
      <c r="H270" s="175"/>
    </row>
    <row r="271" spans="1:8" ht="88.5">
      <c r="A271" s="176" t="s">
        <v>49</v>
      </c>
      <c r="B271" s="176"/>
      <c r="C271" s="176"/>
      <c r="D271" s="176"/>
      <c r="E271" s="176"/>
      <c r="F271" s="176"/>
      <c r="G271" s="176"/>
      <c r="H271" s="176"/>
    </row>
    <row r="272" spans="1:8" ht="89.25" thickBot="1">
      <c r="A272" s="177"/>
      <c r="B272" s="177"/>
      <c r="C272" s="177"/>
      <c r="D272" s="177"/>
      <c r="E272" s="177"/>
      <c r="F272" s="177"/>
      <c r="G272" s="177"/>
      <c r="H272" s="177"/>
    </row>
    <row r="273" spans="1:8" ht="89.25" thickBot="1">
      <c r="A273" s="178" t="s">
        <v>30</v>
      </c>
      <c r="B273" s="180" t="s">
        <v>50</v>
      </c>
      <c r="C273" s="183" t="s">
        <v>111</v>
      </c>
      <c r="D273" s="172" t="s">
        <v>24</v>
      </c>
      <c r="E273" s="173"/>
      <c r="F273" s="174"/>
      <c r="G273" s="180" t="s">
        <v>51</v>
      </c>
      <c r="H273" s="180" t="s">
        <v>112</v>
      </c>
    </row>
    <row r="274" spans="1:8" ht="89.25" thickBot="1">
      <c r="A274" s="179"/>
      <c r="B274" s="181"/>
      <c r="C274" s="184"/>
      <c r="D274" s="40" t="s">
        <v>0</v>
      </c>
      <c r="E274" s="41" t="s">
        <v>1</v>
      </c>
      <c r="F274" s="41" t="s">
        <v>2</v>
      </c>
      <c r="G274" s="181"/>
      <c r="H274" s="181"/>
    </row>
    <row r="275" spans="1:8" ht="89.25" thickBot="1">
      <c r="A275" s="148">
        <v>1</v>
      </c>
      <c r="B275" s="43">
        <v>2</v>
      </c>
      <c r="C275" s="44">
        <v>3</v>
      </c>
      <c r="D275" s="63">
        <v>4</v>
      </c>
      <c r="E275" s="43">
        <v>5</v>
      </c>
      <c r="F275" s="43">
        <v>6</v>
      </c>
      <c r="G275" s="43">
        <v>7</v>
      </c>
      <c r="H275" s="43">
        <v>8</v>
      </c>
    </row>
    <row r="276" spans="1:8" ht="89.25" thickBot="1">
      <c r="A276" s="172" t="s">
        <v>5</v>
      </c>
      <c r="B276" s="173"/>
      <c r="C276" s="173"/>
      <c r="D276" s="173"/>
      <c r="E276" s="173"/>
      <c r="F276" s="173"/>
      <c r="G276" s="173"/>
      <c r="H276" s="174"/>
    </row>
    <row r="277" spans="1:8" ht="89.25" thickBot="1">
      <c r="A277" s="47">
        <v>14</v>
      </c>
      <c r="B277" s="26" t="s">
        <v>176</v>
      </c>
      <c r="C277" s="34">
        <v>180</v>
      </c>
      <c r="D277" s="52">
        <v>6.44</v>
      </c>
      <c r="E277" s="52">
        <v>6.43</v>
      </c>
      <c r="F277" s="52">
        <v>30.62</v>
      </c>
      <c r="G277" s="60">
        <v>205</v>
      </c>
      <c r="H277" s="60">
        <v>1.77</v>
      </c>
    </row>
    <row r="278" spans="1:8" ht="89.25" thickBot="1">
      <c r="A278" s="54">
        <v>15</v>
      </c>
      <c r="B278" s="50" t="s">
        <v>224</v>
      </c>
      <c r="C278" s="34">
        <v>200</v>
      </c>
      <c r="D278" s="52">
        <v>3.12</v>
      </c>
      <c r="E278" s="52">
        <v>3.39</v>
      </c>
      <c r="F278" s="52">
        <v>15.81</v>
      </c>
      <c r="G278" s="52">
        <v>106</v>
      </c>
      <c r="H278" s="52">
        <v>1.3</v>
      </c>
    </row>
    <row r="279" spans="1:8" ht="89.25" thickBot="1">
      <c r="A279" s="47">
        <v>16</v>
      </c>
      <c r="B279" s="24" t="s">
        <v>36</v>
      </c>
      <c r="C279" s="53" t="s">
        <v>155</v>
      </c>
      <c r="D279" s="52">
        <v>1.94</v>
      </c>
      <c r="E279" s="52">
        <v>3.77</v>
      </c>
      <c r="F279" s="52">
        <v>12.36</v>
      </c>
      <c r="G279" s="52">
        <v>91</v>
      </c>
      <c r="H279" s="52">
        <v>0</v>
      </c>
    </row>
    <row r="280" spans="1:8" ht="89.25" thickBot="1">
      <c r="A280" s="47"/>
      <c r="B280" s="24" t="s">
        <v>6</v>
      </c>
      <c r="C280" s="34">
        <f>C277+C278+C279</f>
        <v>410</v>
      </c>
      <c r="D280" s="52">
        <f>SUM(D277:D279)</f>
        <v>11.5</v>
      </c>
      <c r="E280" s="52">
        <f>SUM(E277:E279)</f>
        <v>13.59</v>
      </c>
      <c r="F280" s="52">
        <f>SUM(F277:F279)</f>
        <v>58.79</v>
      </c>
      <c r="G280" s="52">
        <f>SUM(G277:G279)</f>
        <v>402</v>
      </c>
      <c r="H280" s="52">
        <f>SUM(H277:H279)</f>
        <v>3.0700000000000003</v>
      </c>
    </row>
    <row r="281" spans="1:8" ht="89.25" thickBot="1">
      <c r="A281" s="172" t="s">
        <v>53</v>
      </c>
      <c r="B281" s="173"/>
      <c r="C281" s="173"/>
      <c r="D281" s="173"/>
      <c r="E281" s="173"/>
      <c r="F281" s="173"/>
      <c r="G281" s="173"/>
      <c r="H281" s="174"/>
    </row>
    <row r="282" spans="1:8" ht="89.25" thickBot="1">
      <c r="A282" s="47" t="s">
        <v>32</v>
      </c>
      <c r="B282" s="24" t="s">
        <v>182</v>
      </c>
      <c r="C282" s="53" t="s">
        <v>27</v>
      </c>
      <c r="D282" s="52">
        <v>0.3</v>
      </c>
      <c r="E282" s="52">
        <v>0.17</v>
      </c>
      <c r="F282" s="52">
        <v>15.17</v>
      </c>
      <c r="G282" s="52">
        <v>69</v>
      </c>
      <c r="H282" s="52">
        <v>3</v>
      </c>
    </row>
    <row r="283" spans="1:8" ht="89.25" thickBot="1">
      <c r="A283" s="47"/>
      <c r="B283" s="24" t="s">
        <v>6</v>
      </c>
      <c r="C283" s="51" t="s">
        <v>27</v>
      </c>
      <c r="D283" s="52">
        <f>SUM(D282)</f>
        <v>0.3</v>
      </c>
      <c r="E283" s="52">
        <f>SUM(E282)</f>
        <v>0.17</v>
      </c>
      <c r="F283" s="52">
        <f>SUM(F282)</f>
        <v>15.17</v>
      </c>
      <c r="G283" s="52">
        <f>SUM(G282)</f>
        <v>69</v>
      </c>
      <c r="H283" s="52">
        <f>SUM(H282)</f>
        <v>3</v>
      </c>
    </row>
    <row r="284" spans="1:8" ht="89.25" thickBot="1">
      <c r="A284" s="172" t="s">
        <v>8</v>
      </c>
      <c r="B284" s="173"/>
      <c r="C284" s="173"/>
      <c r="D284" s="173"/>
      <c r="E284" s="173"/>
      <c r="F284" s="173"/>
      <c r="G284" s="173"/>
      <c r="H284" s="174"/>
    </row>
    <row r="285" spans="1:8" ht="266.25" thickBot="1">
      <c r="A285" s="54">
        <v>38</v>
      </c>
      <c r="B285" s="24" t="s">
        <v>268</v>
      </c>
      <c r="C285" s="34">
        <v>40</v>
      </c>
      <c r="D285" s="52">
        <v>1.75</v>
      </c>
      <c r="E285" s="52">
        <v>0.08</v>
      </c>
      <c r="F285" s="52">
        <v>3.33</v>
      </c>
      <c r="G285" s="52">
        <v>22</v>
      </c>
      <c r="H285" s="52">
        <v>4</v>
      </c>
    </row>
    <row r="286" spans="1:8" ht="177.75" thickBot="1">
      <c r="A286" s="47">
        <v>70</v>
      </c>
      <c r="B286" s="24" t="s">
        <v>41</v>
      </c>
      <c r="C286" s="51" t="s">
        <v>25</v>
      </c>
      <c r="D286" s="52">
        <v>3.38</v>
      </c>
      <c r="E286" s="52">
        <v>5.2</v>
      </c>
      <c r="F286" s="52">
        <v>11.03</v>
      </c>
      <c r="G286" s="52">
        <v>116.11</v>
      </c>
      <c r="H286" s="52">
        <v>7.97</v>
      </c>
    </row>
    <row r="287" spans="1:8" ht="177.75" thickBot="1">
      <c r="A287" s="54">
        <v>58</v>
      </c>
      <c r="B287" s="24" t="s">
        <v>178</v>
      </c>
      <c r="C287" s="51" t="s">
        <v>26</v>
      </c>
      <c r="D287" s="52">
        <v>11.81</v>
      </c>
      <c r="E287" s="52">
        <v>5.58</v>
      </c>
      <c r="F287" s="52">
        <v>1.75</v>
      </c>
      <c r="G287" s="52">
        <v>103.08</v>
      </c>
      <c r="H287" s="52">
        <v>1.45</v>
      </c>
    </row>
    <row r="288" spans="1:8" ht="89.25" thickBot="1">
      <c r="A288" s="54">
        <v>8</v>
      </c>
      <c r="B288" s="24" t="s">
        <v>37</v>
      </c>
      <c r="C288" s="34">
        <v>130</v>
      </c>
      <c r="D288" s="52">
        <v>2.63</v>
      </c>
      <c r="E288" s="52">
        <v>4.53</v>
      </c>
      <c r="F288" s="52">
        <v>15.66</v>
      </c>
      <c r="G288" s="52">
        <v>123.07</v>
      </c>
      <c r="H288" s="52">
        <v>9.1</v>
      </c>
    </row>
    <row r="289" spans="1:8" ht="89.25" thickBot="1">
      <c r="A289" s="47">
        <v>9</v>
      </c>
      <c r="B289" s="26" t="s">
        <v>225</v>
      </c>
      <c r="C289" s="53" t="s">
        <v>25</v>
      </c>
      <c r="D289" s="52">
        <v>0.94</v>
      </c>
      <c r="E289" s="52">
        <v>0</v>
      </c>
      <c r="F289" s="52">
        <v>22.87</v>
      </c>
      <c r="G289" s="52">
        <v>94</v>
      </c>
      <c r="H289" s="52">
        <v>0.72</v>
      </c>
    </row>
    <row r="290" spans="1:8" ht="177.75" thickBot="1">
      <c r="A290" s="47" t="s">
        <v>32</v>
      </c>
      <c r="B290" s="24" t="s">
        <v>56</v>
      </c>
      <c r="C290" s="34">
        <v>25</v>
      </c>
      <c r="D290" s="52">
        <v>2</v>
      </c>
      <c r="E290" s="52">
        <v>0.25</v>
      </c>
      <c r="F290" s="52">
        <v>12.05</v>
      </c>
      <c r="G290" s="52">
        <v>59</v>
      </c>
      <c r="H290" s="52">
        <v>0</v>
      </c>
    </row>
    <row r="291" spans="1:8" ht="177.75" thickBot="1">
      <c r="A291" s="47" t="s">
        <v>32</v>
      </c>
      <c r="B291" s="24" t="s">
        <v>58</v>
      </c>
      <c r="C291" s="34">
        <v>50</v>
      </c>
      <c r="D291" s="52">
        <v>2.8</v>
      </c>
      <c r="E291" s="52">
        <v>0.6</v>
      </c>
      <c r="F291" s="52">
        <v>24.7</v>
      </c>
      <c r="G291" s="52">
        <v>116</v>
      </c>
      <c r="H291" s="52">
        <v>0</v>
      </c>
    </row>
    <row r="292" spans="1:8" ht="89.25" thickBot="1">
      <c r="A292" s="54"/>
      <c r="B292" s="26" t="s">
        <v>29</v>
      </c>
      <c r="C292" s="34">
        <f aca="true" t="shared" si="20" ref="C292:H292">C285+C286+C287+C288+C289+C290+C291</f>
        <v>745</v>
      </c>
      <c r="D292" s="48">
        <f t="shared" si="20"/>
        <v>25.310000000000002</v>
      </c>
      <c r="E292" s="48">
        <f t="shared" si="20"/>
        <v>16.240000000000002</v>
      </c>
      <c r="F292" s="48">
        <f t="shared" si="20"/>
        <v>91.39</v>
      </c>
      <c r="G292" s="48">
        <f t="shared" si="20"/>
        <v>633.26</v>
      </c>
      <c r="H292" s="48">
        <f t="shared" si="20"/>
        <v>23.239999999999995</v>
      </c>
    </row>
    <row r="293" spans="1:8" ht="89.25" thickBot="1">
      <c r="A293" s="172" t="s">
        <v>145</v>
      </c>
      <c r="B293" s="173"/>
      <c r="C293" s="173"/>
      <c r="D293" s="173"/>
      <c r="E293" s="173"/>
      <c r="F293" s="173"/>
      <c r="G293" s="173"/>
      <c r="H293" s="174"/>
    </row>
    <row r="294" spans="1:8" ht="266.25" thickBot="1">
      <c r="A294" s="55">
        <v>21.1</v>
      </c>
      <c r="B294" s="56" t="s">
        <v>172</v>
      </c>
      <c r="C294" s="51" t="s">
        <v>115</v>
      </c>
      <c r="D294" s="48">
        <v>5.22</v>
      </c>
      <c r="E294" s="48">
        <v>5.76</v>
      </c>
      <c r="F294" s="48">
        <v>7.2</v>
      </c>
      <c r="G294" s="48">
        <v>106.2</v>
      </c>
      <c r="H294" s="48">
        <v>1.26</v>
      </c>
    </row>
    <row r="295" spans="1:8" ht="89.25" thickBot="1">
      <c r="A295" s="47">
        <v>17</v>
      </c>
      <c r="B295" s="50" t="s">
        <v>210</v>
      </c>
      <c r="C295" s="51" t="s">
        <v>59</v>
      </c>
      <c r="D295" s="52">
        <v>4.11</v>
      </c>
      <c r="E295" s="52">
        <v>6.85</v>
      </c>
      <c r="F295" s="52">
        <v>38.63</v>
      </c>
      <c r="G295" s="52">
        <v>250</v>
      </c>
      <c r="H295" s="52">
        <v>0.09</v>
      </c>
    </row>
    <row r="296" spans="1:8" ht="89.25" thickBot="1">
      <c r="A296" s="54"/>
      <c r="B296" s="24" t="s">
        <v>29</v>
      </c>
      <c r="C296" s="34">
        <f aca="true" t="shared" si="21" ref="C296:H296">C294+C295</f>
        <v>250</v>
      </c>
      <c r="D296" s="52">
        <f t="shared" si="21"/>
        <v>9.33</v>
      </c>
      <c r="E296" s="52">
        <f t="shared" si="21"/>
        <v>12.61</v>
      </c>
      <c r="F296" s="52">
        <f t="shared" si="21"/>
        <v>45.830000000000005</v>
      </c>
      <c r="G296" s="52">
        <f t="shared" si="21"/>
        <v>356.2</v>
      </c>
      <c r="H296" s="52">
        <f t="shared" si="21"/>
        <v>1.35</v>
      </c>
    </row>
    <row r="297" spans="1:8" ht="89.25" thickBot="1">
      <c r="A297" s="172" t="s">
        <v>144</v>
      </c>
      <c r="B297" s="173"/>
      <c r="C297" s="173"/>
      <c r="D297" s="173"/>
      <c r="E297" s="173"/>
      <c r="F297" s="173"/>
      <c r="G297" s="173"/>
      <c r="H297" s="174"/>
    </row>
    <row r="298" spans="1:8" ht="89.25" thickBot="1">
      <c r="A298" s="47">
        <v>27</v>
      </c>
      <c r="B298" s="24" t="s">
        <v>73</v>
      </c>
      <c r="C298" s="34">
        <v>230</v>
      </c>
      <c r="D298" s="52">
        <v>3.84</v>
      </c>
      <c r="E298" s="52">
        <v>6.18</v>
      </c>
      <c r="F298" s="52">
        <v>17.25</v>
      </c>
      <c r="G298" s="52">
        <v>163</v>
      </c>
      <c r="H298" s="52">
        <v>10.76</v>
      </c>
    </row>
    <row r="299" spans="1:8" ht="177.75" thickBot="1">
      <c r="A299" s="47" t="s">
        <v>32</v>
      </c>
      <c r="B299" s="24" t="s">
        <v>56</v>
      </c>
      <c r="C299" s="34">
        <v>25</v>
      </c>
      <c r="D299" s="52">
        <v>2</v>
      </c>
      <c r="E299" s="52">
        <v>0.25</v>
      </c>
      <c r="F299" s="52">
        <v>12.05</v>
      </c>
      <c r="G299" s="52">
        <v>59</v>
      </c>
      <c r="H299" s="52">
        <v>0</v>
      </c>
    </row>
    <row r="300" spans="1:8" ht="177.75" thickBot="1">
      <c r="A300" s="47">
        <v>69</v>
      </c>
      <c r="B300" s="24" t="s">
        <v>106</v>
      </c>
      <c r="C300" s="51" t="s">
        <v>253</v>
      </c>
      <c r="D300" s="52">
        <v>0.34</v>
      </c>
      <c r="E300" s="52">
        <v>0.34</v>
      </c>
      <c r="F300" s="52">
        <v>8.33</v>
      </c>
      <c r="G300" s="52">
        <v>39.95</v>
      </c>
      <c r="H300" s="52">
        <v>8.5</v>
      </c>
    </row>
    <row r="301" spans="1:8" ht="89.25" thickBot="1">
      <c r="A301" s="49">
        <v>31</v>
      </c>
      <c r="B301" s="50" t="s">
        <v>9</v>
      </c>
      <c r="C301" s="34">
        <v>200</v>
      </c>
      <c r="D301" s="48">
        <v>0.04</v>
      </c>
      <c r="E301" s="48">
        <v>0</v>
      </c>
      <c r="F301" s="48">
        <v>12.13</v>
      </c>
      <c r="G301" s="48">
        <v>47</v>
      </c>
      <c r="H301" s="48">
        <v>2</v>
      </c>
    </row>
    <row r="302" spans="1:8" ht="89.25" thickBot="1">
      <c r="A302" s="42"/>
      <c r="B302" s="24" t="s">
        <v>6</v>
      </c>
      <c r="C302" s="34">
        <f aca="true" t="shared" si="22" ref="C302:H302">C298+C299+C300+C301</f>
        <v>540</v>
      </c>
      <c r="D302" s="52">
        <f t="shared" si="22"/>
        <v>6.22</v>
      </c>
      <c r="E302" s="52">
        <f t="shared" si="22"/>
        <v>6.77</v>
      </c>
      <c r="F302" s="52">
        <f t="shared" si="22"/>
        <v>49.760000000000005</v>
      </c>
      <c r="G302" s="52">
        <f t="shared" si="22"/>
        <v>308.95</v>
      </c>
      <c r="H302" s="52">
        <f t="shared" si="22"/>
        <v>21.259999999999998</v>
      </c>
    </row>
    <row r="303" spans="1:8" ht="89.25" thickBot="1">
      <c r="A303" s="47"/>
      <c r="B303" s="24"/>
      <c r="C303" s="51"/>
      <c r="D303" s="40" t="s">
        <v>0</v>
      </c>
      <c r="E303" s="41" t="s">
        <v>1</v>
      </c>
      <c r="F303" s="41" t="s">
        <v>2</v>
      </c>
      <c r="G303" s="149" t="s">
        <v>3</v>
      </c>
      <c r="H303" s="41" t="s">
        <v>4</v>
      </c>
    </row>
    <row r="304" spans="1:8" ht="89.25" thickBot="1">
      <c r="A304" s="47"/>
      <c r="B304" s="58" t="s">
        <v>10</v>
      </c>
      <c r="C304" s="51"/>
      <c r="D304" s="52">
        <f>D280+D283+D292+D296+D302</f>
        <v>52.66</v>
      </c>
      <c r="E304" s="52">
        <f>E280+E283+E292+E296+E302</f>
        <v>49.379999999999995</v>
      </c>
      <c r="F304" s="52">
        <f>F280+F283+F292+F296+F302</f>
        <v>260.94</v>
      </c>
      <c r="G304" s="52">
        <f>G280+G283+G292+G296+G302</f>
        <v>1769.41</v>
      </c>
      <c r="H304" s="52">
        <f>H280+H283+H292+H296+H302</f>
        <v>51.919999999999995</v>
      </c>
    </row>
    <row r="305" spans="1:8" ht="89.25" thickBot="1">
      <c r="A305" s="47"/>
      <c r="B305" s="58" t="s">
        <v>11</v>
      </c>
      <c r="C305" s="51"/>
      <c r="D305" s="52">
        <v>54</v>
      </c>
      <c r="E305" s="52">
        <v>60</v>
      </c>
      <c r="F305" s="52">
        <v>261</v>
      </c>
      <c r="G305" s="52">
        <v>1800</v>
      </c>
      <c r="H305" s="52">
        <v>50</v>
      </c>
    </row>
    <row r="306" spans="1:8" ht="263.25" thickBot="1">
      <c r="A306" s="42"/>
      <c r="B306" s="59" t="s">
        <v>12</v>
      </c>
      <c r="C306" s="41"/>
      <c r="D306" s="60">
        <f>D304*100/D305</f>
        <v>97.51851851851852</v>
      </c>
      <c r="E306" s="60">
        <f>E304*100/E305</f>
        <v>82.3</v>
      </c>
      <c r="F306" s="60">
        <f>F304*100/F305</f>
        <v>99.97701149425288</v>
      </c>
      <c r="G306" s="60">
        <f>G304*100/G305</f>
        <v>98.30055555555556</v>
      </c>
      <c r="H306" s="60">
        <f>H304*100/H305</f>
        <v>103.83999999999997</v>
      </c>
    </row>
    <row r="307" spans="1:8" ht="88.5">
      <c r="A307" s="61"/>
      <c r="B307" s="147"/>
      <c r="C307" s="146"/>
      <c r="D307" s="62"/>
      <c r="E307" s="62"/>
      <c r="F307" s="62"/>
      <c r="G307" s="62"/>
      <c r="H307" s="62"/>
    </row>
    <row r="308" spans="1:8" ht="88.5">
      <c r="A308" s="61"/>
      <c r="B308" s="38" t="s">
        <v>68</v>
      </c>
      <c r="C308" s="38"/>
      <c r="E308" s="62"/>
      <c r="F308" s="62"/>
      <c r="G308" s="62"/>
      <c r="H308" s="62"/>
    </row>
    <row r="309" spans="1:2" ht="102">
      <c r="A309" s="61"/>
      <c r="B309" s="38" t="s">
        <v>271</v>
      </c>
    </row>
    <row r="310" spans="1:2" ht="88.5">
      <c r="A310" s="61"/>
      <c r="B310" s="38" t="s">
        <v>67</v>
      </c>
    </row>
    <row r="311" spans="1:2" ht="88.5">
      <c r="A311" s="61"/>
      <c r="B311" s="38" t="s">
        <v>151</v>
      </c>
    </row>
    <row r="312" spans="1:8" ht="88.5">
      <c r="A312" s="61"/>
      <c r="B312" s="147"/>
      <c r="C312" s="146"/>
      <c r="D312" s="62"/>
      <c r="E312" s="62"/>
      <c r="F312" s="62"/>
      <c r="G312" s="62"/>
      <c r="H312" s="62"/>
    </row>
    <row r="313" spans="1:8" ht="88.5">
      <c r="A313" s="175" t="s">
        <v>196</v>
      </c>
      <c r="B313" s="175"/>
      <c r="C313" s="175"/>
      <c r="D313" s="175"/>
      <c r="E313" s="175"/>
      <c r="F313" s="175"/>
      <c r="G313" s="175"/>
      <c r="H313" s="175"/>
    </row>
    <row r="314" spans="1:8" ht="88.5">
      <c r="A314" s="175" t="s">
        <v>52</v>
      </c>
      <c r="B314" s="175"/>
      <c r="C314" s="175"/>
      <c r="D314" s="175"/>
      <c r="E314" s="175"/>
      <c r="F314" s="175"/>
      <c r="G314" s="175"/>
      <c r="H314" s="175"/>
    </row>
    <row r="315" spans="1:8" ht="88.5">
      <c r="A315" s="176" t="s">
        <v>49</v>
      </c>
      <c r="B315" s="176"/>
      <c r="C315" s="176"/>
      <c r="D315" s="176"/>
      <c r="E315" s="176"/>
      <c r="F315" s="176"/>
      <c r="G315" s="176"/>
      <c r="H315" s="176"/>
    </row>
    <row r="316" spans="1:8" ht="89.25" thickBot="1">
      <c r="A316" s="177"/>
      <c r="B316" s="177"/>
      <c r="C316" s="177"/>
      <c r="D316" s="177"/>
      <c r="E316" s="177"/>
      <c r="F316" s="177"/>
      <c r="G316" s="177"/>
      <c r="H316" s="177"/>
    </row>
    <row r="317" spans="1:8" ht="89.25" thickBot="1">
      <c r="A317" s="178" t="s">
        <v>30</v>
      </c>
      <c r="B317" s="180" t="s">
        <v>50</v>
      </c>
      <c r="C317" s="183" t="s">
        <v>111</v>
      </c>
      <c r="D317" s="172" t="s">
        <v>24</v>
      </c>
      <c r="E317" s="173"/>
      <c r="F317" s="174"/>
      <c r="G317" s="180" t="s">
        <v>51</v>
      </c>
      <c r="H317" s="180" t="s">
        <v>112</v>
      </c>
    </row>
    <row r="318" spans="1:8" ht="89.25" thickBot="1">
      <c r="A318" s="179"/>
      <c r="B318" s="181"/>
      <c r="C318" s="184"/>
      <c r="D318" s="40" t="s">
        <v>0</v>
      </c>
      <c r="E318" s="41" t="s">
        <v>1</v>
      </c>
      <c r="F318" s="41" t="s">
        <v>2</v>
      </c>
      <c r="G318" s="181"/>
      <c r="H318" s="181"/>
    </row>
    <row r="319" spans="1:8" ht="89.25" thickBot="1">
      <c r="A319" s="148">
        <v>1</v>
      </c>
      <c r="B319" s="43">
        <v>2</v>
      </c>
      <c r="C319" s="44">
        <v>3</v>
      </c>
      <c r="D319" s="63">
        <v>4</v>
      </c>
      <c r="E319" s="43">
        <v>5</v>
      </c>
      <c r="F319" s="43">
        <v>6</v>
      </c>
      <c r="G319" s="43">
        <v>7</v>
      </c>
      <c r="H319" s="43">
        <v>8</v>
      </c>
    </row>
    <row r="320" spans="1:8" ht="89.25" thickBot="1">
      <c r="A320" s="172" t="s">
        <v>5</v>
      </c>
      <c r="B320" s="173"/>
      <c r="C320" s="173"/>
      <c r="D320" s="173"/>
      <c r="E320" s="173"/>
      <c r="F320" s="173"/>
      <c r="G320" s="173"/>
      <c r="H320" s="174"/>
    </row>
    <row r="321" spans="1:8" ht="177.75" thickBot="1">
      <c r="A321" s="54">
        <v>32</v>
      </c>
      <c r="B321" s="26" t="s">
        <v>218</v>
      </c>
      <c r="C321" s="34">
        <v>180</v>
      </c>
      <c r="D321" s="48">
        <v>5.6</v>
      </c>
      <c r="E321" s="48">
        <v>6.7</v>
      </c>
      <c r="F321" s="48">
        <v>22.6</v>
      </c>
      <c r="G321" s="48">
        <v>172.8</v>
      </c>
      <c r="H321" s="48">
        <v>1.8</v>
      </c>
    </row>
    <row r="322" spans="1:8" ht="177.75" thickBot="1">
      <c r="A322" s="47">
        <v>2</v>
      </c>
      <c r="B322" s="24" t="s">
        <v>69</v>
      </c>
      <c r="C322" s="34">
        <v>200</v>
      </c>
      <c r="D322" s="48">
        <v>3.28</v>
      </c>
      <c r="E322" s="48">
        <v>3.44</v>
      </c>
      <c r="F322" s="48">
        <v>15.92</v>
      </c>
      <c r="G322" s="48">
        <v>105</v>
      </c>
      <c r="H322" s="48">
        <v>1.3</v>
      </c>
    </row>
    <row r="323" spans="1:8" ht="177.75" thickBot="1">
      <c r="A323" s="47">
        <v>3</v>
      </c>
      <c r="B323" s="24" t="s">
        <v>38</v>
      </c>
      <c r="C323" s="51" t="s">
        <v>260</v>
      </c>
      <c r="D323" s="52">
        <v>4.72</v>
      </c>
      <c r="E323" s="52">
        <v>7.31</v>
      </c>
      <c r="F323" s="52">
        <v>12.36</v>
      </c>
      <c r="G323" s="52">
        <v>135</v>
      </c>
      <c r="H323" s="52">
        <v>0.08</v>
      </c>
    </row>
    <row r="324" spans="1:8" ht="89.25" thickBot="1">
      <c r="A324" s="47"/>
      <c r="B324" s="24" t="s">
        <v>6</v>
      </c>
      <c r="C324" s="34">
        <f>C321+C322+C323</f>
        <v>422</v>
      </c>
      <c r="D324" s="52">
        <f>SUM(D321:D323)</f>
        <v>13.599999999999998</v>
      </c>
      <c r="E324" s="52">
        <f>SUM(E321:E323)</f>
        <v>17.45</v>
      </c>
      <c r="F324" s="52">
        <f>SUM(F321:F323)</f>
        <v>50.88</v>
      </c>
      <c r="G324" s="52">
        <f>SUM(G321:G323)</f>
        <v>412.8</v>
      </c>
      <c r="H324" s="52">
        <f>SUM(H321:H323)</f>
        <v>3.18</v>
      </c>
    </row>
    <row r="325" spans="1:8" ht="89.25" thickBot="1">
      <c r="A325" s="172" t="s">
        <v>53</v>
      </c>
      <c r="B325" s="173"/>
      <c r="C325" s="173"/>
      <c r="D325" s="173"/>
      <c r="E325" s="173"/>
      <c r="F325" s="173"/>
      <c r="G325" s="173"/>
      <c r="H325" s="174"/>
    </row>
    <row r="326" spans="1:8" ht="89.25" thickBot="1">
      <c r="A326" s="47" t="s">
        <v>32</v>
      </c>
      <c r="B326" s="24" t="s">
        <v>182</v>
      </c>
      <c r="C326" s="53" t="s">
        <v>27</v>
      </c>
      <c r="D326" s="52">
        <v>0.3</v>
      </c>
      <c r="E326" s="52">
        <v>0.17</v>
      </c>
      <c r="F326" s="52">
        <v>15.17</v>
      </c>
      <c r="G326" s="52">
        <v>69</v>
      </c>
      <c r="H326" s="52">
        <v>3</v>
      </c>
    </row>
    <row r="327" spans="1:8" ht="89.25" thickBot="1">
      <c r="A327" s="47"/>
      <c r="B327" s="24" t="s">
        <v>6</v>
      </c>
      <c r="C327" s="51" t="s">
        <v>27</v>
      </c>
      <c r="D327" s="52">
        <f>SUM(D326)</f>
        <v>0.3</v>
      </c>
      <c r="E327" s="52">
        <f>SUM(E326)</f>
        <v>0.17</v>
      </c>
      <c r="F327" s="52">
        <f>SUM(F326)</f>
        <v>15.17</v>
      </c>
      <c r="G327" s="52">
        <f>SUM(G326)</f>
        <v>69</v>
      </c>
      <c r="H327" s="52">
        <f>SUM(H326)</f>
        <v>3</v>
      </c>
    </row>
    <row r="328" spans="1:8" ht="89.25" thickBot="1">
      <c r="A328" s="172" t="s">
        <v>8</v>
      </c>
      <c r="B328" s="173"/>
      <c r="C328" s="173"/>
      <c r="D328" s="173"/>
      <c r="E328" s="173"/>
      <c r="F328" s="173"/>
      <c r="G328" s="173"/>
      <c r="H328" s="174"/>
    </row>
    <row r="329" spans="1:8" ht="89.25" thickBot="1">
      <c r="A329" s="54">
        <v>51</v>
      </c>
      <c r="B329" s="24" t="s">
        <v>226</v>
      </c>
      <c r="C329" s="53" t="s">
        <v>34</v>
      </c>
      <c r="D329" s="52">
        <v>0.93</v>
      </c>
      <c r="E329" s="52">
        <v>4.88</v>
      </c>
      <c r="F329" s="52">
        <v>5.53</v>
      </c>
      <c r="G329" s="52">
        <v>70</v>
      </c>
      <c r="H329" s="52">
        <v>2.2</v>
      </c>
    </row>
    <row r="330" spans="1:8" ht="177.75" thickBot="1">
      <c r="A330" s="47">
        <v>46</v>
      </c>
      <c r="B330" s="24" t="s">
        <v>72</v>
      </c>
      <c r="C330" s="53" t="s">
        <v>25</v>
      </c>
      <c r="D330" s="52">
        <v>3.33</v>
      </c>
      <c r="E330" s="52">
        <v>4.64</v>
      </c>
      <c r="F330" s="52">
        <v>15.7</v>
      </c>
      <c r="G330" s="52">
        <v>115.15</v>
      </c>
      <c r="H330" s="52">
        <v>6.3</v>
      </c>
    </row>
    <row r="331" spans="1:8" ht="177.75" thickBot="1">
      <c r="A331" s="47">
        <v>81</v>
      </c>
      <c r="B331" s="24" t="s">
        <v>209</v>
      </c>
      <c r="C331" s="34">
        <v>220</v>
      </c>
      <c r="D331" s="52">
        <v>3.36</v>
      </c>
      <c r="E331" s="52">
        <v>7.06</v>
      </c>
      <c r="F331" s="52">
        <v>13.73</v>
      </c>
      <c r="G331" s="52">
        <v>139.92</v>
      </c>
      <c r="H331" s="52">
        <v>17.88</v>
      </c>
    </row>
    <row r="332" spans="1:8" ht="266.25" thickBot="1">
      <c r="A332" s="47">
        <v>20</v>
      </c>
      <c r="B332" s="24" t="s">
        <v>232</v>
      </c>
      <c r="C332" s="53" t="s">
        <v>25</v>
      </c>
      <c r="D332" s="52">
        <v>0</v>
      </c>
      <c r="E332" s="52">
        <v>0</v>
      </c>
      <c r="F332" s="52">
        <v>32.44</v>
      </c>
      <c r="G332" s="52">
        <v>125</v>
      </c>
      <c r="H332" s="52">
        <v>0</v>
      </c>
    </row>
    <row r="333" spans="1:8" ht="177.75" thickBot="1">
      <c r="A333" s="47" t="s">
        <v>32</v>
      </c>
      <c r="B333" s="24" t="s">
        <v>56</v>
      </c>
      <c r="C333" s="34">
        <v>25</v>
      </c>
      <c r="D333" s="52">
        <v>2</v>
      </c>
      <c r="E333" s="52">
        <v>0.25</v>
      </c>
      <c r="F333" s="52">
        <v>12.05</v>
      </c>
      <c r="G333" s="52">
        <v>59</v>
      </c>
      <c r="H333" s="52">
        <v>0</v>
      </c>
    </row>
    <row r="334" spans="1:8" ht="177.75" thickBot="1">
      <c r="A334" s="47" t="s">
        <v>32</v>
      </c>
      <c r="B334" s="24" t="s">
        <v>58</v>
      </c>
      <c r="C334" s="34">
        <v>50</v>
      </c>
      <c r="D334" s="52">
        <v>2.8</v>
      </c>
      <c r="E334" s="52">
        <v>0.6</v>
      </c>
      <c r="F334" s="52">
        <v>24.7</v>
      </c>
      <c r="G334" s="52">
        <v>116</v>
      </c>
      <c r="H334" s="52">
        <v>0</v>
      </c>
    </row>
    <row r="335" spans="1:9" ht="89.25" thickBot="1">
      <c r="A335" s="54"/>
      <c r="B335" s="26" t="s">
        <v>29</v>
      </c>
      <c r="C335" s="34">
        <f aca="true" t="shared" si="23" ref="C335:H335">C329+C330+C331+C332+C333+C334</f>
        <v>755</v>
      </c>
      <c r="D335" s="48">
        <f t="shared" si="23"/>
        <v>12.419999999999998</v>
      </c>
      <c r="E335" s="48">
        <f t="shared" si="23"/>
        <v>17.43</v>
      </c>
      <c r="F335" s="48">
        <f t="shared" si="23"/>
        <v>104.15</v>
      </c>
      <c r="G335" s="48">
        <f t="shared" si="23"/>
        <v>625.0699999999999</v>
      </c>
      <c r="H335" s="48">
        <f t="shared" si="23"/>
        <v>26.38</v>
      </c>
      <c r="I335" s="46"/>
    </row>
    <row r="336" spans="1:9" ht="89.25" thickBot="1">
      <c r="A336" s="172" t="s">
        <v>145</v>
      </c>
      <c r="B336" s="173"/>
      <c r="C336" s="173"/>
      <c r="D336" s="173"/>
      <c r="E336" s="173"/>
      <c r="F336" s="173"/>
      <c r="G336" s="173"/>
      <c r="H336" s="174"/>
      <c r="I336" s="46"/>
    </row>
    <row r="337" spans="1:9" ht="266.25" thickBot="1">
      <c r="A337" s="55">
        <v>21.1</v>
      </c>
      <c r="B337" s="56" t="s">
        <v>172</v>
      </c>
      <c r="C337" s="51" t="s">
        <v>115</v>
      </c>
      <c r="D337" s="48">
        <v>5.22</v>
      </c>
      <c r="E337" s="48">
        <v>5.76</v>
      </c>
      <c r="F337" s="48">
        <v>7.2</v>
      </c>
      <c r="G337" s="48">
        <v>106.2</v>
      </c>
      <c r="H337" s="48">
        <v>1.26</v>
      </c>
      <c r="I337" s="46"/>
    </row>
    <row r="338" spans="1:9" ht="89.25" thickBot="1">
      <c r="A338" s="47">
        <v>36</v>
      </c>
      <c r="B338" s="24" t="s">
        <v>57</v>
      </c>
      <c r="C338" s="51" t="s">
        <v>59</v>
      </c>
      <c r="D338" s="52">
        <v>6.11</v>
      </c>
      <c r="E338" s="52">
        <v>11.11</v>
      </c>
      <c r="F338" s="52">
        <v>34.77</v>
      </c>
      <c r="G338" s="52">
        <v>280</v>
      </c>
      <c r="H338" s="52">
        <v>0.21</v>
      </c>
      <c r="I338" s="46"/>
    </row>
    <row r="339" spans="1:9" ht="89.25" thickBot="1">
      <c r="A339" s="54"/>
      <c r="B339" s="24" t="s">
        <v>29</v>
      </c>
      <c r="C339" s="34">
        <f aca="true" t="shared" si="24" ref="C339:H339">C337+C338</f>
        <v>250</v>
      </c>
      <c r="D339" s="52">
        <f t="shared" si="24"/>
        <v>11.33</v>
      </c>
      <c r="E339" s="52">
        <f t="shared" si="24"/>
        <v>16.869999999999997</v>
      </c>
      <c r="F339" s="52">
        <f t="shared" si="24"/>
        <v>41.970000000000006</v>
      </c>
      <c r="G339" s="52">
        <f t="shared" si="24"/>
        <v>386.2</v>
      </c>
      <c r="H339" s="52">
        <f t="shared" si="24"/>
        <v>1.47</v>
      </c>
      <c r="I339" s="46"/>
    </row>
    <row r="340" spans="1:9" ht="89.25" thickBot="1">
      <c r="A340" s="172" t="s">
        <v>144</v>
      </c>
      <c r="B340" s="173"/>
      <c r="C340" s="173"/>
      <c r="D340" s="173"/>
      <c r="E340" s="173"/>
      <c r="F340" s="173"/>
      <c r="G340" s="173"/>
      <c r="H340" s="174"/>
      <c r="I340" s="46"/>
    </row>
    <row r="341" spans="1:8" ht="89.25" thickBot="1">
      <c r="A341" s="47">
        <v>1</v>
      </c>
      <c r="B341" s="26" t="s">
        <v>42</v>
      </c>
      <c r="C341" s="34">
        <v>180</v>
      </c>
      <c r="D341" s="52">
        <v>5.22</v>
      </c>
      <c r="E341" s="52">
        <v>6.65</v>
      </c>
      <c r="F341" s="52">
        <v>19.94</v>
      </c>
      <c r="G341" s="60">
        <v>161</v>
      </c>
      <c r="H341" s="60">
        <v>1.05</v>
      </c>
    </row>
    <row r="342" spans="1:8" ht="177.75" thickBot="1">
      <c r="A342" s="47" t="s">
        <v>32</v>
      </c>
      <c r="B342" s="24" t="s">
        <v>56</v>
      </c>
      <c r="C342" s="34">
        <v>25</v>
      </c>
      <c r="D342" s="52">
        <v>2</v>
      </c>
      <c r="E342" s="52">
        <v>0.25</v>
      </c>
      <c r="F342" s="52">
        <v>12.05</v>
      </c>
      <c r="G342" s="52">
        <v>59</v>
      </c>
      <c r="H342" s="52">
        <v>0</v>
      </c>
    </row>
    <row r="343" spans="1:8" ht="89.25" thickBot="1">
      <c r="A343" s="54">
        <v>76</v>
      </c>
      <c r="B343" s="50" t="s">
        <v>171</v>
      </c>
      <c r="C343" s="34">
        <v>200</v>
      </c>
      <c r="D343" s="52">
        <v>2.24</v>
      </c>
      <c r="E343" s="52">
        <v>2.56</v>
      </c>
      <c r="F343" s="52">
        <v>13.74</v>
      </c>
      <c r="G343" s="52">
        <v>86</v>
      </c>
      <c r="H343" s="52">
        <v>1.04</v>
      </c>
    </row>
    <row r="344" spans="1:8" ht="177.75" thickBot="1">
      <c r="A344" s="47">
        <v>69</v>
      </c>
      <c r="B344" s="24" t="s">
        <v>106</v>
      </c>
      <c r="C344" s="51" t="s">
        <v>253</v>
      </c>
      <c r="D344" s="52">
        <v>0.34</v>
      </c>
      <c r="E344" s="52">
        <v>0.34</v>
      </c>
      <c r="F344" s="52">
        <v>8.33</v>
      </c>
      <c r="G344" s="52">
        <v>39.95</v>
      </c>
      <c r="H344" s="52">
        <v>8.5</v>
      </c>
    </row>
    <row r="345" spans="1:8" ht="89.25" thickBot="1">
      <c r="A345" s="42"/>
      <c r="B345" s="24" t="s">
        <v>6</v>
      </c>
      <c r="C345" s="34">
        <f aca="true" t="shared" si="25" ref="C345:H345">C341+C342+C343+C344</f>
        <v>490</v>
      </c>
      <c r="D345" s="52">
        <f t="shared" si="25"/>
        <v>9.8</v>
      </c>
      <c r="E345" s="52">
        <f t="shared" si="25"/>
        <v>9.8</v>
      </c>
      <c r="F345" s="52">
        <f t="shared" si="25"/>
        <v>54.06</v>
      </c>
      <c r="G345" s="52">
        <f t="shared" si="25"/>
        <v>345.95</v>
      </c>
      <c r="H345" s="52">
        <f t="shared" si="25"/>
        <v>10.59</v>
      </c>
    </row>
    <row r="346" spans="1:8" ht="89.25" thickBot="1">
      <c r="A346" s="47"/>
      <c r="B346" s="24"/>
      <c r="C346" s="51"/>
      <c r="D346" s="40" t="s">
        <v>0</v>
      </c>
      <c r="E346" s="41" t="s">
        <v>1</v>
      </c>
      <c r="F346" s="41" t="s">
        <v>2</v>
      </c>
      <c r="G346" s="149" t="s">
        <v>3</v>
      </c>
      <c r="H346" s="41" t="s">
        <v>4</v>
      </c>
    </row>
    <row r="347" spans="1:8" ht="89.25" thickBot="1">
      <c r="A347" s="47"/>
      <c r="B347" s="58" t="s">
        <v>10</v>
      </c>
      <c r="C347" s="51"/>
      <c r="D347" s="52">
        <f>D324+D327+D335+D339+D345</f>
        <v>47.45</v>
      </c>
      <c r="E347" s="52">
        <f>E324+E327+E335+E339+E345</f>
        <v>61.72</v>
      </c>
      <c r="F347" s="52">
        <f>F324+F327+F335+F339+F345</f>
        <v>266.23</v>
      </c>
      <c r="G347" s="52">
        <f>G324+G327+G335+G339+G345</f>
        <v>1839.02</v>
      </c>
      <c r="H347" s="52">
        <f>H324+H327+H335+H339+H345</f>
        <v>44.620000000000005</v>
      </c>
    </row>
    <row r="348" spans="1:8" ht="89.25" thickBot="1">
      <c r="A348" s="47"/>
      <c r="B348" s="58" t="s">
        <v>11</v>
      </c>
      <c r="C348" s="51"/>
      <c r="D348" s="52">
        <v>54</v>
      </c>
      <c r="E348" s="52">
        <v>60</v>
      </c>
      <c r="F348" s="52">
        <v>261</v>
      </c>
      <c r="G348" s="52">
        <v>1800</v>
      </c>
      <c r="H348" s="52">
        <v>50</v>
      </c>
    </row>
    <row r="349" spans="1:8" ht="263.25" thickBot="1">
      <c r="A349" s="42"/>
      <c r="B349" s="59" t="s">
        <v>12</v>
      </c>
      <c r="C349" s="41"/>
      <c r="D349" s="60">
        <f>D347*100/D348</f>
        <v>87.87037037037037</v>
      </c>
      <c r="E349" s="60">
        <f>E347*100/E348</f>
        <v>102.86666666666666</v>
      </c>
      <c r="F349" s="60">
        <f>F347*100/F348</f>
        <v>102.00383141762453</v>
      </c>
      <c r="G349" s="60">
        <f>G347*100/G348</f>
        <v>102.16777777777777</v>
      </c>
      <c r="H349" s="60">
        <f>H347*100/H348</f>
        <v>89.24</v>
      </c>
    </row>
    <row r="350" spans="1:8" ht="88.5">
      <c r="A350" s="61"/>
      <c r="B350" s="147"/>
      <c r="C350" s="146"/>
      <c r="D350" s="62"/>
      <c r="E350" s="62"/>
      <c r="F350" s="62"/>
      <c r="G350" s="62"/>
      <c r="H350" s="62"/>
    </row>
    <row r="351" spans="1:8" ht="88.5">
      <c r="A351" s="61"/>
      <c r="B351" s="38" t="s">
        <v>68</v>
      </c>
      <c r="C351" s="38"/>
      <c r="E351" s="62"/>
      <c r="F351" s="62"/>
      <c r="G351" s="62"/>
      <c r="H351" s="62"/>
    </row>
    <row r="352" spans="1:2" ht="102">
      <c r="A352" s="61"/>
      <c r="B352" s="38" t="s">
        <v>271</v>
      </c>
    </row>
    <row r="353" spans="1:2" ht="88.5">
      <c r="A353" s="61"/>
      <c r="B353" s="38" t="s">
        <v>67</v>
      </c>
    </row>
    <row r="354" spans="1:2" ht="88.5">
      <c r="A354" s="61"/>
      <c r="B354" s="38" t="s">
        <v>151</v>
      </c>
    </row>
    <row r="355" spans="1:8" ht="88.5">
      <c r="A355" s="61"/>
      <c r="B355" s="147"/>
      <c r="C355" s="146"/>
      <c r="D355" s="62"/>
      <c r="E355" s="62"/>
      <c r="F355" s="62"/>
      <c r="G355" s="62"/>
      <c r="H355" s="62"/>
    </row>
    <row r="356" spans="1:8" ht="88.5">
      <c r="A356" s="175" t="s">
        <v>200</v>
      </c>
      <c r="B356" s="175"/>
      <c r="C356" s="175"/>
      <c r="D356" s="175"/>
      <c r="E356" s="175"/>
      <c r="F356" s="175"/>
      <c r="G356" s="175"/>
      <c r="H356" s="175"/>
    </row>
    <row r="357" spans="1:8" ht="88.5">
      <c r="A357" s="175" t="s">
        <v>52</v>
      </c>
      <c r="B357" s="175"/>
      <c r="C357" s="175"/>
      <c r="D357" s="175"/>
      <c r="E357" s="175"/>
      <c r="F357" s="175"/>
      <c r="G357" s="175"/>
      <c r="H357" s="175"/>
    </row>
    <row r="358" spans="1:8" ht="88.5">
      <c r="A358" s="176" t="s">
        <v>49</v>
      </c>
      <c r="B358" s="176"/>
      <c r="C358" s="176"/>
      <c r="D358" s="176"/>
      <c r="E358" s="176"/>
      <c r="F358" s="176"/>
      <c r="G358" s="176"/>
      <c r="H358" s="176"/>
    </row>
    <row r="359" spans="1:8" ht="89.25" thickBot="1">
      <c r="A359" s="177"/>
      <c r="B359" s="177"/>
      <c r="C359" s="177"/>
      <c r="D359" s="177"/>
      <c r="E359" s="177"/>
      <c r="F359" s="177"/>
      <c r="G359" s="177"/>
      <c r="H359" s="177"/>
    </row>
    <row r="360" spans="1:8" ht="89.25" thickBot="1">
      <c r="A360" s="178" t="s">
        <v>30</v>
      </c>
      <c r="B360" s="180" t="s">
        <v>50</v>
      </c>
      <c r="C360" s="183" t="s">
        <v>111</v>
      </c>
      <c r="D360" s="172" t="s">
        <v>24</v>
      </c>
      <c r="E360" s="173"/>
      <c r="F360" s="174"/>
      <c r="G360" s="180" t="s">
        <v>51</v>
      </c>
      <c r="H360" s="180" t="s">
        <v>112</v>
      </c>
    </row>
    <row r="361" spans="1:8" ht="89.25" thickBot="1">
      <c r="A361" s="179"/>
      <c r="B361" s="181"/>
      <c r="C361" s="184"/>
      <c r="D361" s="40" t="s">
        <v>0</v>
      </c>
      <c r="E361" s="41" t="s">
        <v>1</v>
      </c>
      <c r="F361" s="41" t="s">
        <v>2</v>
      </c>
      <c r="G361" s="181"/>
      <c r="H361" s="181"/>
    </row>
    <row r="362" spans="1:8" ht="89.25" thickBot="1">
      <c r="A362" s="42">
        <v>1</v>
      </c>
      <c r="B362" s="43">
        <v>2</v>
      </c>
      <c r="C362" s="44">
        <v>3</v>
      </c>
      <c r="D362" s="45">
        <v>4</v>
      </c>
      <c r="E362" s="43">
        <v>5</v>
      </c>
      <c r="F362" s="43">
        <v>6</v>
      </c>
      <c r="G362" s="43">
        <v>7</v>
      </c>
      <c r="H362" s="43">
        <v>8</v>
      </c>
    </row>
    <row r="363" spans="1:8" ht="89.25" thickBot="1">
      <c r="A363" s="172" t="s">
        <v>5</v>
      </c>
      <c r="B363" s="173"/>
      <c r="C363" s="173"/>
      <c r="D363" s="173"/>
      <c r="E363" s="173"/>
      <c r="F363" s="173"/>
      <c r="G363" s="173"/>
      <c r="H363" s="174"/>
    </row>
    <row r="364" spans="1:8" ht="177.75" thickBot="1">
      <c r="A364" s="54">
        <v>50</v>
      </c>
      <c r="B364" s="26" t="s">
        <v>205</v>
      </c>
      <c r="C364" s="34">
        <v>180</v>
      </c>
      <c r="D364" s="48">
        <v>5.39</v>
      </c>
      <c r="E364" s="48">
        <v>6.01</v>
      </c>
      <c r="F364" s="48">
        <v>28.15</v>
      </c>
      <c r="G364" s="48">
        <v>187</v>
      </c>
      <c r="H364" s="48">
        <v>1.77</v>
      </c>
    </row>
    <row r="365" spans="1:8" ht="89.25" thickBot="1">
      <c r="A365" s="54">
        <v>15</v>
      </c>
      <c r="B365" s="50" t="s">
        <v>224</v>
      </c>
      <c r="C365" s="34">
        <v>200</v>
      </c>
      <c r="D365" s="52">
        <v>3.12</v>
      </c>
      <c r="E365" s="52">
        <v>3.39</v>
      </c>
      <c r="F365" s="52">
        <v>15.81</v>
      </c>
      <c r="G365" s="52">
        <v>106</v>
      </c>
      <c r="H365" s="52">
        <v>1.3</v>
      </c>
    </row>
    <row r="366" spans="1:8" ht="89.25" thickBot="1">
      <c r="A366" s="47">
        <v>16</v>
      </c>
      <c r="B366" s="24" t="s">
        <v>36</v>
      </c>
      <c r="C366" s="53" t="s">
        <v>155</v>
      </c>
      <c r="D366" s="52">
        <v>1.94</v>
      </c>
      <c r="E366" s="52">
        <v>3.77</v>
      </c>
      <c r="F366" s="52">
        <v>12.36</v>
      </c>
      <c r="G366" s="52">
        <v>91</v>
      </c>
      <c r="H366" s="52">
        <v>0</v>
      </c>
    </row>
    <row r="367" spans="1:8" ht="89.25" thickBot="1">
      <c r="A367" s="47"/>
      <c r="B367" s="24" t="s">
        <v>6</v>
      </c>
      <c r="C367" s="34">
        <f aca="true" t="shared" si="26" ref="C367:H367">C364+C365+C366</f>
        <v>410</v>
      </c>
      <c r="D367" s="60">
        <f t="shared" si="26"/>
        <v>10.45</v>
      </c>
      <c r="E367" s="60">
        <f t="shared" si="26"/>
        <v>13.17</v>
      </c>
      <c r="F367" s="60">
        <f t="shared" si="26"/>
        <v>56.32</v>
      </c>
      <c r="G367" s="60">
        <f t="shared" si="26"/>
        <v>384</v>
      </c>
      <c r="H367" s="60">
        <f t="shared" si="26"/>
        <v>3.0700000000000003</v>
      </c>
    </row>
    <row r="368" spans="1:8" ht="89.25" thickBot="1">
      <c r="A368" s="172" t="s">
        <v>53</v>
      </c>
      <c r="B368" s="173"/>
      <c r="C368" s="173"/>
      <c r="D368" s="173"/>
      <c r="E368" s="173"/>
      <c r="F368" s="173"/>
      <c r="G368" s="173"/>
      <c r="H368" s="174"/>
    </row>
    <row r="369" spans="1:8" ht="89.25" thickBot="1">
      <c r="A369" s="47" t="s">
        <v>32</v>
      </c>
      <c r="B369" s="24" t="s">
        <v>182</v>
      </c>
      <c r="C369" s="53" t="s">
        <v>27</v>
      </c>
      <c r="D369" s="52">
        <v>0.3</v>
      </c>
      <c r="E369" s="52">
        <v>0.17</v>
      </c>
      <c r="F369" s="52">
        <v>15.17</v>
      </c>
      <c r="G369" s="52">
        <v>69</v>
      </c>
      <c r="H369" s="52">
        <v>3</v>
      </c>
    </row>
    <row r="370" spans="1:8" ht="89.25" thickBot="1">
      <c r="A370" s="47"/>
      <c r="B370" s="24" t="s">
        <v>6</v>
      </c>
      <c r="C370" s="51" t="s">
        <v>27</v>
      </c>
      <c r="D370" s="52">
        <f>SUM(D369)</f>
        <v>0.3</v>
      </c>
      <c r="E370" s="52">
        <f>SUM(E369)</f>
        <v>0.17</v>
      </c>
      <c r="F370" s="52">
        <f>SUM(F369)</f>
        <v>15.17</v>
      </c>
      <c r="G370" s="52">
        <f>SUM(G369)</f>
        <v>69</v>
      </c>
      <c r="H370" s="52">
        <f>SUM(H369)</f>
        <v>3</v>
      </c>
    </row>
    <row r="371" spans="1:8" ht="89.25" thickBot="1">
      <c r="A371" s="172" t="s">
        <v>8</v>
      </c>
      <c r="B371" s="173"/>
      <c r="C371" s="173"/>
      <c r="D371" s="173"/>
      <c r="E371" s="173"/>
      <c r="F371" s="173"/>
      <c r="G371" s="173"/>
      <c r="H371" s="174"/>
    </row>
    <row r="372" spans="1:8" ht="89.25" thickBot="1">
      <c r="A372" s="54">
        <v>56</v>
      </c>
      <c r="B372" s="24" t="s">
        <v>228</v>
      </c>
      <c r="C372" s="53" t="s">
        <v>34</v>
      </c>
      <c r="D372" s="52">
        <v>1.05</v>
      </c>
      <c r="E372" s="52">
        <v>4.84</v>
      </c>
      <c r="F372" s="52">
        <v>6.05</v>
      </c>
      <c r="G372" s="52">
        <v>73.33</v>
      </c>
      <c r="H372" s="52">
        <v>6.4</v>
      </c>
    </row>
    <row r="373" spans="1:8" ht="177.75" thickBot="1">
      <c r="A373" s="47">
        <v>53</v>
      </c>
      <c r="B373" s="24" t="s">
        <v>174</v>
      </c>
      <c r="C373" s="34">
        <v>200</v>
      </c>
      <c r="D373" s="52">
        <v>5.4</v>
      </c>
      <c r="E373" s="52">
        <v>6.91</v>
      </c>
      <c r="F373" s="52">
        <v>10.21</v>
      </c>
      <c r="G373" s="52">
        <v>119</v>
      </c>
      <c r="H373" s="52">
        <v>4.8</v>
      </c>
    </row>
    <row r="374" spans="1:8" ht="89.25" thickBot="1">
      <c r="A374" s="54">
        <v>19</v>
      </c>
      <c r="B374" s="24" t="s">
        <v>242</v>
      </c>
      <c r="C374" s="51" t="s">
        <v>25</v>
      </c>
      <c r="D374" s="52">
        <v>9.32</v>
      </c>
      <c r="E374" s="52">
        <v>10.07</v>
      </c>
      <c r="F374" s="52">
        <v>18.95</v>
      </c>
      <c r="G374" s="52">
        <v>212</v>
      </c>
      <c r="H374" s="52">
        <v>10.45</v>
      </c>
    </row>
    <row r="375" spans="1:8" ht="89.25" thickBot="1">
      <c r="A375" s="47">
        <v>9</v>
      </c>
      <c r="B375" s="24" t="s">
        <v>43</v>
      </c>
      <c r="C375" s="34">
        <v>200</v>
      </c>
      <c r="D375" s="52">
        <v>0.4</v>
      </c>
      <c r="E375" s="52">
        <v>0</v>
      </c>
      <c r="F375" s="52">
        <v>21</v>
      </c>
      <c r="G375" s="52">
        <v>88</v>
      </c>
      <c r="H375" s="52">
        <v>0.36</v>
      </c>
    </row>
    <row r="376" spans="1:8" ht="177.75" thickBot="1">
      <c r="A376" s="47" t="s">
        <v>32</v>
      </c>
      <c r="B376" s="24" t="s">
        <v>56</v>
      </c>
      <c r="C376" s="34">
        <v>25</v>
      </c>
      <c r="D376" s="52">
        <v>2</v>
      </c>
      <c r="E376" s="52">
        <v>0.25</v>
      </c>
      <c r="F376" s="52">
        <v>12.05</v>
      </c>
      <c r="G376" s="52">
        <v>59</v>
      </c>
      <c r="H376" s="52">
        <v>0</v>
      </c>
    </row>
    <row r="377" spans="1:8" ht="177.75" thickBot="1">
      <c r="A377" s="47" t="s">
        <v>32</v>
      </c>
      <c r="B377" s="24" t="s">
        <v>58</v>
      </c>
      <c r="C377" s="34">
        <v>50</v>
      </c>
      <c r="D377" s="52">
        <v>2.8</v>
      </c>
      <c r="E377" s="52">
        <v>0.6</v>
      </c>
      <c r="F377" s="52">
        <v>24.7</v>
      </c>
      <c r="G377" s="52">
        <v>116</v>
      </c>
      <c r="H377" s="52">
        <v>0</v>
      </c>
    </row>
    <row r="378" spans="1:8" ht="89.25" thickBot="1">
      <c r="A378" s="54"/>
      <c r="B378" s="26" t="s">
        <v>29</v>
      </c>
      <c r="C378" s="34">
        <f aca="true" t="shared" si="27" ref="C378:H378">C372+C373+C374+C375+C376+C377</f>
        <v>735</v>
      </c>
      <c r="D378" s="48">
        <f t="shared" si="27"/>
        <v>20.97</v>
      </c>
      <c r="E378" s="48">
        <f t="shared" si="27"/>
        <v>22.67</v>
      </c>
      <c r="F378" s="48">
        <f t="shared" si="27"/>
        <v>92.96000000000001</v>
      </c>
      <c r="G378" s="48">
        <f t="shared" si="27"/>
        <v>667.3299999999999</v>
      </c>
      <c r="H378" s="48">
        <f t="shared" si="27"/>
        <v>22.009999999999998</v>
      </c>
    </row>
    <row r="379" spans="1:8" ht="89.25" thickBot="1">
      <c r="A379" s="172" t="s">
        <v>145</v>
      </c>
      <c r="B379" s="173"/>
      <c r="C379" s="173"/>
      <c r="D379" s="173"/>
      <c r="E379" s="173"/>
      <c r="F379" s="173"/>
      <c r="G379" s="173"/>
      <c r="H379" s="174"/>
    </row>
    <row r="380" spans="1:8" ht="266.25" thickBot="1">
      <c r="A380" s="55">
        <v>21.1</v>
      </c>
      <c r="B380" s="56" t="s">
        <v>172</v>
      </c>
      <c r="C380" s="51" t="s">
        <v>115</v>
      </c>
      <c r="D380" s="48">
        <v>5.22</v>
      </c>
      <c r="E380" s="48">
        <v>5.76</v>
      </c>
      <c r="F380" s="48">
        <v>7.2</v>
      </c>
      <c r="G380" s="48">
        <v>106.2</v>
      </c>
      <c r="H380" s="48">
        <v>1.26</v>
      </c>
    </row>
    <row r="381" spans="1:8" ht="177.75" thickBot="1">
      <c r="A381" s="47">
        <v>28</v>
      </c>
      <c r="B381" s="24" t="s">
        <v>164</v>
      </c>
      <c r="C381" s="51" t="s">
        <v>59</v>
      </c>
      <c r="D381" s="52">
        <v>9.09</v>
      </c>
      <c r="E381" s="52">
        <v>4.94</v>
      </c>
      <c r="F381" s="52">
        <v>30.4</v>
      </c>
      <c r="G381" s="52">
        <v>215</v>
      </c>
      <c r="H381" s="52">
        <v>0.3</v>
      </c>
    </row>
    <row r="382" spans="1:8" ht="89.25" thickBot="1">
      <c r="A382" s="54"/>
      <c r="B382" s="24" t="s">
        <v>29</v>
      </c>
      <c r="C382" s="34">
        <f aca="true" t="shared" si="28" ref="C382:H382">C380+C381</f>
        <v>250</v>
      </c>
      <c r="D382" s="52">
        <f t="shared" si="28"/>
        <v>14.309999999999999</v>
      </c>
      <c r="E382" s="52">
        <f t="shared" si="28"/>
        <v>10.7</v>
      </c>
      <c r="F382" s="52">
        <f t="shared" si="28"/>
        <v>37.6</v>
      </c>
      <c r="G382" s="52">
        <f t="shared" si="28"/>
        <v>321.2</v>
      </c>
      <c r="H382" s="52">
        <f t="shared" si="28"/>
        <v>1.56</v>
      </c>
    </row>
    <row r="383" spans="1:8" ht="89.25" thickBot="1">
      <c r="A383" s="172" t="s">
        <v>144</v>
      </c>
      <c r="B383" s="173"/>
      <c r="C383" s="173"/>
      <c r="D383" s="173"/>
      <c r="E383" s="173"/>
      <c r="F383" s="173"/>
      <c r="G383" s="173"/>
      <c r="H383" s="174"/>
    </row>
    <row r="384" spans="1:8" ht="89.25" thickBot="1">
      <c r="A384" s="47">
        <v>73</v>
      </c>
      <c r="B384" s="24" t="s">
        <v>212</v>
      </c>
      <c r="C384" s="53" t="s">
        <v>234</v>
      </c>
      <c r="D384" s="52">
        <v>7.68</v>
      </c>
      <c r="E384" s="52">
        <v>10.08</v>
      </c>
      <c r="F384" s="52">
        <v>23.01</v>
      </c>
      <c r="G384" s="52">
        <v>244</v>
      </c>
      <c r="H384" s="52">
        <v>18.16</v>
      </c>
    </row>
    <row r="385" spans="1:8" ht="89.25" thickBot="1">
      <c r="A385" s="54">
        <v>13</v>
      </c>
      <c r="B385" s="50" t="s">
        <v>7</v>
      </c>
      <c r="C385" s="34">
        <v>200</v>
      </c>
      <c r="D385" s="52">
        <v>0</v>
      </c>
      <c r="E385" s="52">
        <v>0</v>
      </c>
      <c r="F385" s="52">
        <v>11.98</v>
      </c>
      <c r="G385" s="52">
        <v>45</v>
      </c>
      <c r="H385" s="52">
        <v>0</v>
      </c>
    </row>
    <row r="386" spans="1:8" ht="177.75" thickBot="1">
      <c r="A386" s="47" t="s">
        <v>32</v>
      </c>
      <c r="B386" s="24" t="s">
        <v>56</v>
      </c>
      <c r="C386" s="34">
        <v>25</v>
      </c>
      <c r="D386" s="52">
        <v>2</v>
      </c>
      <c r="E386" s="52">
        <v>0.25</v>
      </c>
      <c r="F386" s="52">
        <v>12.05</v>
      </c>
      <c r="G386" s="52">
        <v>59</v>
      </c>
      <c r="H386" s="52">
        <v>0</v>
      </c>
    </row>
    <row r="387" spans="1:8" ht="177.75" thickBot="1">
      <c r="A387" s="47">
        <v>69</v>
      </c>
      <c r="B387" s="24" t="s">
        <v>106</v>
      </c>
      <c r="C387" s="51" t="s">
        <v>253</v>
      </c>
      <c r="D387" s="52">
        <v>0.34</v>
      </c>
      <c r="E387" s="52">
        <v>0.34</v>
      </c>
      <c r="F387" s="52">
        <v>8.33</v>
      </c>
      <c r="G387" s="52">
        <v>39.95</v>
      </c>
      <c r="H387" s="52">
        <v>8.5</v>
      </c>
    </row>
    <row r="388" spans="1:8" ht="89.25" thickBot="1">
      <c r="A388" s="42"/>
      <c r="B388" s="24" t="s">
        <v>6</v>
      </c>
      <c r="C388" s="34">
        <f aca="true" t="shared" si="29" ref="C388:H388">C384+C385+C386+C387</f>
        <v>563</v>
      </c>
      <c r="D388" s="52">
        <f t="shared" si="29"/>
        <v>10.02</v>
      </c>
      <c r="E388" s="52">
        <f t="shared" si="29"/>
        <v>10.67</v>
      </c>
      <c r="F388" s="52">
        <f t="shared" si="29"/>
        <v>55.370000000000005</v>
      </c>
      <c r="G388" s="52">
        <f t="shared" si="29"/>
        <v>387.95</v>
      </c>
      <c r="H388" s="52">
        <f t="shared" si="29"/>
        <v>26.66</v>
      </c>
    </row>
    <row r="389" spans="1:8" ht="89.25" thickBot="1">
      <c r="A389" s="47"/>
      <c r="B389" s="24"/>
      <c r="C389" s="51"/>
      <c r="D389" s="40" t="s">
        <v>0</v>
      </c>
      <c r="E389" s="41" t="s">
        <v>1</v>
      </c>
      <c r="F389" s="41" t="s">
        <v>2</v>
      </c>
      <c r="G389" s="149" t="s">
        <v>3</v>
      </c>
      <c r="H389" s="41" t="s">
        <v>4</v>
      </c>
    </row>
    <row r="390" spans="1:8" ht="89.25" thickBot="1">
      <c r="A390" s="47"/>
      <c r="B390" s="58" t="s">
        <v>10</v>
      </c>
      <c r="C390" s="51"/>
      <c r="D390" s="52">
        <f>D367+D370+D378+D382+D388</f>
        <v>56.05</v>
      </c>
      <c r="E390" s="52">
        <f>E367+E370+E378+E382+E388</f>
        <v>57.38000000000001</v>
      </c>
      <c r="F390" s="52">
        <f>F367+F370+F378+F382+F388</f>
        <v>257.41999999999996</v>
      </c>
      <c r="G390" s="52">
        <f>G367+G370+G378+G382+G388</f>
        <v>1829.48</v>
      </c>
      <c r="H390" s="52">
        <f>H367+H370+H378+H382+H388</f>
        <v>56.3</v>
      </c>
    </row>
    <row r="391" spans="1:8" ht="89.25" thickBot="1">
      <c r="A391" s="47"/>
      <c r="B391" s="58" t="s">
        <v>11</v>
      </c>
      <c r="C391" s="51"/>
      <c r="D391" s="52">
        <v>54</v>
      </c>
      <c r="E391" s="52">
        <v>60</v>
      </c>
      <c r="F391" s="52">
        <v>261</v>
      </c>
      <c r="G391" s="52">
        <v>1800</v>
      </c>
      <c r="H391" s="52">
        <v>50</v>
      </c>
    </row>
    <row r="392" spans="1:8" ht="263.25" thickBot="1">
      <c r="A392" s="42"/>
      <c r="B392" s="59" t="s">
        <v>12</v>
      </c>
      <c r="C392" s="41"/>
      <c r="D392" s="60">
        <f>D390*100/D391</f>
        <v>103.79629629629629</v>
      </c>
      <c r="E392" s="60">
        <f>E390*100/E391</f>
        <v>95.63333333333335</v>
      </c>
      <c r="F392" s="60">
        <f>F390*100/F391</f>
        <v>98.62835249042145</v>
      </c>
      <c r="G392" s="60">
        <f>G390*100/G391</f>
        <v>101.63777777777777</v>
      </c>
      <c r="H392" s="60">
        <f>H390*100/H391</f>
        <v>112.6</v>
      </c>
    </row>
    <row r="393" spans="1:8" ht="88.5">
      <c r="A393" s="61"/>
      <c r="B393" s="147"/>
      <c r="C393" s="146"/>
      <c r="D393" s="62"/>
      <c r="E393" s="62"/>
      <c r="F393" s="62"/>
      <c r="G393" s="62"/>
      <c r="H393" s="62"/>
    </row>
    <row r="394" spans="1:8" ht="88.5">
      <c r="A394" s="61"/>
      <c r="B394" s="38" t="s">
        <v>68</v>
      </c>
      <c r="C394" s="38"/>
      <c r="E394" s="62"/>
      <c r="F394" s="62"/>
      <c r="G394" s="62"/>
      <c r="H394" s="62"/>
    </row>
    <row r="395" spans="1:2" ht="102">
      <c r="A395" s="61"/>
      <c r="B395" s="38" t="s">
        <v>271</v>
      </c>
    </row>
    <row r="396" spans="1:2" ht="88.5">
      <c r="A396" s="61"/>
      <c r="B396" s="38" t="s">
        <v>67</v>
      </c>
    </row>
    <row r="397" spans="1:2" ht="88.5">
      <c r="A397" s="61"/>
      <c r="B397" s="38" t="s">
        <v>151</v>
      </c>
    </row>
    <row r="398" spans="1:8" ht="88.5">
      <c r="A398" s="61"/>
      <c r="B398" s="147"/>
      <c r="C398" s="146"/>
      <c r="D398" s="62"/>
      <c r="E398" s="62"/>
      <c r="F398" s="62"/>
      <c r="G398" s="62"/>
      <c r="H398" s="62"/>
    </row>
    <row r="399" spans="1:8" ht="88.5">
      <c r="A399" s="175" t="s">
        <v>188</v>
      </c>
      <c r="B399" s="175"/>
      <c r="C399" s="175"/>
      <c r="D399" s="175"/>
      <c r="E399" s="175"/>
      <c r="F399" s="175"/>
      <c r="G399" s="175"/>
      <c r="H399" s="175"/>
    </row>
    <row r="400" spans="1:8" ht="88.5">
      <c r="A400" s="175" t="s">
        <v>52</v>
      </c>
      <c r="B400" s="175"/>
      <c r="C400" s="175"/>
      <c r="D400" s="175"/>
      <c r="E400" s="175"/>
      <c r="F400" s="175"/>
      <c r="G400" s="175"/>
      <c r="H400" s="175"/>
    </row>
    <row r="401" spans="1:8" ht="88.5">
      <c r="A401" s="176" t="s">
        <v>49</v>
      </c>
      <c r="B401" s="176"/>
      <c r="C401" s="176"/>
      <c r="D401" s="176"/>
      <c r="E401" s="176"/>
      <c r="F401" s="176"/>
      <c r="G401" s="176"/>
      <c r="H401" s="176"/>
    </row>
    <row r="402" spans="1:8" ht="89.25" thickBot="1">
      <c r="A402" s="177"/>
      <c r="B402" s="177"/>
      <c r="C402" s="177"/>
      <c r="D402" s="177"/>
      <c r="E402" s="177"/>
      <c r="F402" s="177"/>
      <c r="G402" s="177"/>
      <c r="H402" s="177"/>
    </row>
    <row r="403" spans="1:8" ht="89.25" thickBot="1">
      <c r="A403" s="178" t="s">
        <v>30</v>
      </c>
      <c r="B403" s="180" t="s">
        <v>50</v>
      </c>
      <c r="C403" s="183" t="s">
        <v>111</v>
      </c>
      <c r="D403" s="172" t="s">
        <v>24</v>
      </c>
      <c r="E403" s="173"/>
      <c r="F403" s="174"/>
      <c r="G403" s="180" t="s">
        <v>51</v>
      </c>
      <c r="H403" s="180" t="s">
        <v>112</v>
      </c>
    </row>
    <row r="404" spans="1:8" ht="89.25" thickBot="1">
      <c r="A404" s="179"/>
      <c r="B404" s="181"/>
      <c r="C404" s="184"/>
      <c r="D404" s="40" t="s">
        <v>0</v>
      </c>
      <c r="E404" s="41" t="s">
        <v>1</v>
      </c>
      <c r="F404" s="41" t="s">
        <v>2</v>
      </c>
      <c r="G404" s="181"/>
      <c r="H404" s="181"/>
    </row>
    <row r="405" spans="1:9" ht="89.25" thickBot="1">
      <c r="A405" s="148">
        <v>1</v>
      </c>
      <c r="B405" s="43">
        <v>2</v>
      </c>
      <c r="C405" s="44">
        <v>3</v>
      </c>
      <c r="D405" s="63">
        <v>4</v>
      </c>
      <c r="E405" s="43">
        <v>5</v>
      </c>
      <c r="F405" s="43">
        <v>6</v>
      </c>
      <c r="G405" s="43">
        <v>7</v>
      </c>
      <c r="H405" s="43">
        <v>8</v>
      </c>
      <c r="I405" s="46"/>
    </row>
    <row r="406" spans="1:8" ht="89.25" thickBot="1">
      <c r="A406" s="172" t="s">
        <v>5</v>
      </c>
      <c r="B406" s="173"/>
      <c r="C406" s="173"/>
      <c r="D406" s="173"/>
      <c r="E406" s="173"/>
      <c r="F406" s="173"/>
      <c r="G406" s="173"/>
      <c r="H406" s="174"/>
    </row>
    <row r="407" spans="1:9" s="46" customFormat="1" ht="266.25" thickBot="1">
      <c r="A407" s="64">
        <v>39</v>
      </c>
      <c r="B407" s="65" t="s">
        <v>20</v>
      </c>
      <c r="C407" s="66">
        <v>180</v>
      </c>
      <c r="D407" s="67">
        <v>5.52</v>
      </c>
      <c r="E407" s="67">
        <v>5.29</v>
      </c>
      <c r="F407" s="67">
        <v>21.44</v>
      </c>
      <c r="G407" s="67">
        <v>154.8</v>
      </c>
      <c r="H407" s="67">
        <v>0.9</v>
      </c>
      <c r="I407" s="38"/>
    </row>
    <row r="408" spans="1:8" ht="177.75" thickBot="1">
      <c r="A408" s="47">
        <v>2</v>
      </c>
      <c r="B408" s="24" t="s">
        <v>69</v>
      </c>
      <c r="C408" s="34">
        <v>200</v>
      </c>
      <c r="D408" s="48">
        <v>3.28</v>
      </c>
      <c r="E408" s="48">
        <v>3.44</v>
      </c>
      <c r="F408" s="48">
        <v>15.92</v>
      </c>
      <c r="G408" s="48">
        <v>105</v>
      </c>
      <c r="H408" s="48">
        <v>1.3</v>
      </c>
    </row>
    <row r="409" spans="1:8" ht="89.25" thickBot="1">
      <c r="A409" s="47">
        <v>86</v>
      </c>
      <c r="B409" s="24" t="s">
        <v>206</v>
      </c>
      <c r="C409" s="51" t="s">
        <v>102</v>
      </c>
      <c r="D409" s="52">
        <v>1.95</v>
      </c>
      <c r="E409" s="52">
        <v>0.2</v>
      </c>
      <c r="F409" s="52">
        <v>19.18</v>
      </c>
      <c r="G409" s="52">
        <v>85</v>
      </c>
      <c r="H409" s="52">
        <v>0.02</v>
      </c>
    </row>
    <row r="410" spans="1:8" ht="89.25" thickBot="1">
      <c r="A410" s="47"/>
      <c r="B410" s="24" t="s">
        <v>6</v>
      </c>
      <c r="C410" s="34">
        <f>C407+C408+C409</f>
        <v>415</v>
      </c>
      <c r="D410" s="52">
        <f>SUM(D407:D409)</f>
        <v>10.749999999999998</v>
      </c>
      <c r="E410" s="52">
        <f>SUM(E407:E409)</f>
        <v>8.93</v>
      </c>
      <c r="F410" s="52">
        <f>SUM(F407:F409)</f>
        <v>56.54</v>
      </c>
      <c r="G410" s="52">
        <f>SUM(G407:G409)</f>
        <v>344.8</v>
      </c>
      <c r="H410" s="52">
        <f>SUM(H407:H409)</f>
        <v>2.22</v>
      </c>
    </row>
    <row r="411" spans="1:8" ht="89.25" thickBot="1">
      <c r="A411" s="172" t="s">
        <v>53</v>
      </c>
      <c r="B411" s="173"/>
      <c r="C411" s="173"/>
      <c r="D411" s="173"/>
      <c r="E411" s="173"/>
      <c r="F411" s="173"/>
      <c r="G411" s="173"/>
      <c r="H411" s="174"/>
    </row>
    <row r="412" spans="1:8" ht="89.25" thickBot="1">
      <c r="A412" s="47" t="s">
        <v>32</v>
      </c>
      <c r="B412" s="24" t="s">
        <v>182</v>
      </c>
      <c r="C412" s="53" t="s">
        <v>27</v>
      </c>
      <c r="D412" s="52">
        <v>0.3</v>
      </c>
      <c r="E412" s="52">
        <v>0.17</v>
      </c>
      <c r="F412" s="52">
        <v>15.17</v>
      </c>
      <c r="G412" s="52">
        <v>69</v>
      </c>
      <c r="H412" s="52">
        <v>3</v>
      </c>
    </row>
    <row r="413" spans="1:8" ht="89.25" thickBot="1">
      <c r="A413" s="47"/>
      <c r="B413" s="24" t="s">
        <v>6</v>
      </c>
      <c r="C413" s="51" t="s">
        <v>27</v>
      </c>
      <c r="D413" s="52">
        <f>SUM(D412)</f>
        <v>0.3</v>
      </c>
      <c r="E413" s="52">
        <f>SUM(E412)</f>
        <v>0.17</v>
      </c>
      <c r="F413" s="52">
        <f>SUM(F412)</f>
        <v>15.17</v>
      </c>
      <c r="G413" s="52">
        <f>SUM(G412)</f>
        <v>69</v>
      </c>
      <c r="H413" s="52">
        <f>SUM(H412)</f>
        <v>3</v>
      </c>
    </row>
    <row r="414" spans="1:8" ht="89.25" thickBot="1">
      <c r="A414" s="172" t="s">
        <v>8</v>
      </c>
      <c r="B414" s="173"/>
      <c r="C414" s="173"/>
      <c r="D414" s="173"/>
      <c r="E414" s="173"/>
      <c r="F414" s="173"/>
      <c r="G414" s="173"/>
      <c r="H414" s="174"/>
    </row>
    <row r="415" spans="1:8" ht="177.75" thickBot="1">
      <c r="A415" s="54">
        <v>88</v>
      </c>
      <c r="B415" s="127" t="s">
        <v>213</v>
      </c>
      <c r="C415" s="53" t="s">
        <v>34</v>
      </c>
      <c r="D415" s="52">
        <v>0.55</v>
      </c>
      <c r="E415" s="52">
        <v>5.08</v>
      </c>
      <c r="F415" s="52">
        <v>0.91</v>
      </c>
      <c r="G415" s="52">
        <v>74</v>
      </c>
      <c r="H415" s="52">
        <v>1.92</v>
      </c>
    </row>
    <row r="416" spans="1:8" ht="177.75" thickBot="1">
      <c r="A416" s="47">
        <v>59</v>
      </c>
      <c r="B416" s="24" t="s">
        <v>265</v>
      </c>
      <c r="C416" s="53" t="s">
        <v>25</v>
      </c>
      <c r="D416" s="52">
        <v>4.63</v>
      </c>
      <c r="E416" s="52">
        <v>6.24</v>
      </c>
      <c r="F416" s="52">
        <v>7.79</v>
      </c>
      <c r="G416" s="52">
        <v>113.33</v>
      </c>
      <c r="H416" s="52">
        <v>9.67</v>
      </c>
    </row>
    <row r="417" spans="1:8" ht="89.25" thickBot="1">
      <c r="A417" s="54">
        <v>62</v>
      </c>
      <c r="B417" s="24" t="s">
        <v>235</v>
      </c>
      <c r="C417" s="51" t="s">
        <v>244</v>
      </c>
      <c r="D417" s="52">
        <v>15.47</v>
      </c>
      <c r="E417" s="52">
        <v>14.07</v>
      </c>
      <c r="F417" s="52">
        <v>38.92</v>
      </c>
      <c r="G417" s="52">
        <v>345.39</v>
      </c>
      <c r="H417" s="52">
        <v>2.01</v>
      </c>
    </row>
    <row r="418" spans="1:8" ht="266.25" thickBot="1">
      <c r="A418" s="47">
        <v>20</v>
      </c>
      <c r="B418" s="24" t="s">
        <v>232</v>
      </c>
      <c r="C418" s="53" t="s">
        <v>25</v>
      </c>
      <c r="D418" s="52">
        <v>0</v>
      </c>
      <c r="E418" s="52">
        <v>0</v>
      </c>
      <c r="F418" s="52">
        <v>32.44</v>
      </c>
      <c r="G418" s="52">
        <v>125</v>
      </c>
      <c r="H418" s="52">
        <v>0</v>
      </c>
    </row>
    <row r="419" spans="1:8" ht="177.75" thickBot="1">
      <c r="A419" s="47" t="s">
        <v>32</v>
      </c>
      <c r="B419" s="24" t="s">
        <v>56</v>
      </c>
      <c r="C419" s="34">
        <v>25</v>
      </c>
      <c r="D419" s="52">
        <v>2</v>
      </c>
      <c r="E419" s="52">
        <v>0.25</v>
      </c>
      <c r="F419" s="52">
        <v>12.05</v>
      </c>
      <c r="G419" s="52">
        <v>59</v>
      </c>
      <c r="H419" s="52">
        <v>0</v>
      </c>
    </row>
    <row r="420" spans="1:8" ht="177.75" thickBot="1">
      <c r="A420" s="47" t="s">
        <v>32</v>
      </c>
      <c r="B420" s="24" t="s">
        <v>58</v>
      </c>
      <c r="C420" s="34">
        <v>50</v>
      </c>
      <c r="D420" s="52">
        <v>2.8</v>
      </c>
      <c r="E420" s="52">
        <v>0.6</v>
      </c>
      <c r="F420" s="52">
        <v>24.7</v>
      </c>
      <c r="G420" s="52">
        <v>116</v>
      </c>
      <c r="H420" s="52">
        <v>0</v>
      </c>
    </row>
    <row r="421" spans="1:8" ht="89.25" thickBot="1">
      <c r="A421" s="54"/>
      <c r="B421" s="26" t="s">
        <v>29</v>
      </c>
      <c r="C421" s="34">
        <f aca="true" t="shared" si="30" ref="C421:H421">C415+C416+C417+C418+C419+C420</f>
        <v>750</v>
      </c>
      <c r="D421" s="52">
        <f t="shared" si="30"/>
        <v>25.45</v>
      </c>
      <c r="E421" s="52">
        <f t="shared" si="30"/>
        <v>26.240000000000002</v>
      </c>
      <c r="F421" s="52">
        <f t="shared" si="30"/>
        <v>116.81</v>
      </c>
      <c r="G421" s="52">
        <f t="shared" si="30"/>
        <v>832.72</v>
      </c>
      <c r="H421" s="52">
        <f t="shared" si="30"/>
        <v>13.6</v>
      </c>
    </row>
    <row r="422" spans="1:8" ht="89.25" thickBot="1">
      <c r="A422" s="172" t="s">
        <v>145</v>
      </c>
      <c r="B422" s="173"/>
      <c r="C422" s="173"/>
      <c r="D422" s="173"/>
      <c r="E422" s="173"/>
      <c r="F422" s="173"/>
      <c r="G422" s="173"/>
      <c r="H422" s="174"/>
    </row>
    <row r="423" spans="1:8" ht="266.25" thickBot="1">
      <c r="A423" s="55">
        <v>21.1</v>
      </c>
      <c r="B423" s="56" t="s">
        <v>172</v>
      </c>
      <c r="C423" s="51" t="s">
        <v>115</v>
      </c>
      <c r="D423" s="48">
        <v>5.22</v>
      </c>
      <c r="E423" s="48">
        <v>5.76</v>
      </c>
      <c r="F423" s="48">
        <v>7.2</v>
      </c>
      <c r="G423" s="48">
        <v>106.2</v>
      </c>
      <c r="H423" s="48">
        <v>1.26</v>
      </c>
    </row>
    <row r="424" spans="1:8" ht="177.75" thickBot="1">
      <c r="A424" s="54">
        <v>75</v>
      </c>
      <c r="B424" s="24" t="s">
        <v>214</v>
      </c>
      <c r="C424" s="51" t="s">
        <v>59</v>
      </c>
      <c r="D424" s="52">
        <v>6.3</v>
      </c>
      <c r="E424" s="52">
        <v>7.93</v>
      </c>
      <c r="F424" s="52">
        <v>21.35</v>
      </c>
      <c r="G424" s="52">
        <v>216.18</v>
      </c>
      <c r="H424" s="52">
        <v>0.13</v>
      </c>
    </row>
    <row r="425" spans="1:8" ht="89.25" thickBot="1">
      <c r="A425" s="54"/>
      <c r="B425" s="24" t="s">
        <v>29</v>
      </c>
      <c r="C425" s="34">
        <f aca="true" t="shared" si="31" ref="C425:H425">C423+C424</f>
        <v>250</v>
      </c>
      <c r="D425" s="52">
        <f t="shared" si="31"/>
        <v>11.52</v>
      </c>
      <c r="E425" s="52">
        <f t="shared" si="31"/>
        <v>13.69</v>
      </c>
      <c r="F425" s="52">
        <f t="shared" si="31"/>
        <v>28.55</v>
      </c>
      <c r="G425" s="52">
        <f t="shared" si="31"/>
        <v>322.38</v>
      </c>
      <c r="H425" s="52">
        <f t="shared" si="31"/>
        <v>1.3900000000000001</v>
      </c>
    </row>
    <row r="426" spans="1:8" ht="89.25" thickBot="1">
      <c r="A426" s="172" t="s">
        <v>144</v>
      </c>
      <c r="B426" s="173"/>
      <c r="C426" s="173"/>
      <c r="D426" s="173"/>
      <c r="E426" s="173"/>
      <c r="F426" s="173"/>
      <c r="G426" s="173"/>
      <c r="H426" s="174"/>
    </row>
    <row r="427" spans="1:8" ht="177.75" thickBot="1">
      <c r="A427" s="54">
        <v>44</v>
      </c>
      <c r="B427" s="24" t="s">
        <v>254</v>
      </c>
      <c r="C427" s="51" t="s">
        <v>181</v>
      </c>
      <c r="D427" s="52">
        <v>13.72</v>
      </c>
      <c r="E427" s="52">
        <v>3.58</v>
      </c>
      <c r="F427" s="52">
        <v>1.5</v>
      </c>
      <c r="G427" s="52">
        <v>91.2</v>
      </c>
      <c r="H427" s="52">
        <v>0.36</v>
      </c>
    </row>
    <row r="428" spans="1:8" ht="89.25" thickBot="1">
      <c r="A428" s="54">
        <v>79</v>
      </c>
      <c r="B428" s="24" t="s">
        <v>262</v>
      </c>
      <c r="C428" s="34">
        <v>130</v>
      </c>
      <c r="D428" s="52">
        <v>2.5</v>
      </c>
      <c r="E428" s="52">
        <v>5.77</v>
      </c>
      <c r="F428" s="52">
        <v>17.47</v>
      </c>
      <c r="G428" s="52">
        <v>131.71</v>
      </c>
      <c r="H428" s="52">
        <v>10.4</v>
      </c>
    </row>
    <row r="429" spans="1:8" ht="177.75" thickBot="1">
      <c r="A429" s="47" t="s">
        <v>32</v>
      </c>
      <c r="B429" s="24" t="s">
        <v>56</v>
      </c>
      <c r="C429" s="34">
        <v>25</v>
      </c>
      <c r="D429" s="52">
        <v>2</v>
      </c>
      <c r="E429" s="52">
        <v>0.25</v>
      </c>
      <c r="F429" s="52">
        <v>12.05</v>
      </c>
      <c r="G429" s="52">
        <v>59</v>
      </c>
      <c r="H429" s="52">
        <v>0</v>
      </c>
    </row>
    <row r="430" spans="1:8" ht="89.25" thickBot="1">
      <c r="A430" s="49">
        <v>31</v>
      </c>
      <c r="B430" s="50" t="s">
        <v>9</v>
      </c>
      <c r="C430" s="34">
        <v>200</v>
      </c>
      <c r="D430" s="48">
        <v>0.04</v>
      </c>
      <c r="E430" s="48">
        <v>0</v>
      </c>
      <c r="F430" s="48">
        <v>12.13</v>
      </c>
      <c r="G430" s="48">
        <v>47</v>
      </c>
      <c r="H430" s="48">
        <v>2</v>
      </c>
    </row>
    <row r="431" spans="1:8" ht="177.75" thickBot="1">
      <c r="A431" s="47">
        <v>69</v>
      </c>
      <c r="B431" s="24" t="s">
        <v>106</v>
      </c>
      <c r="C431" s="51" t="s">
        <v>253</v>
      </c>
      <c r="D431" s="52">
        <v>0.34</v>
      </c>
      <c r="E431" s="52">
        <v>0.34</v>
      </c>
      <c r="F431" s="52">
        <v>8.33</v>
      </c>
      <c r="G431" s="52">
        <v>39.95</v>
      </c>
      <c r="H431" s="52">
        <v>8.5</v>
      </c>
    </row>
    <row r="432" spans="1:8" ht="89.25" thickBot="1">
      <c r="A432" s="47"/>
      <c r="B432" s="24" t="s">
        <v>29</v>
      </c>
      <c r="C432" s="34">
        <f aca="true" t="shared" si="32" ref="C432:H432">C427+C428+C429+C430+C431</f>
        <v>560</v>
      </c>
      <c r="D432" s="52">
        <f t="shared" si="32"/>
        <v>18.599999999999998</v>
      </c>
      <c r="E432" s="52">
        <f t="shared" si="32"/>
        <v>9.94</v>
      </c>
      <c r="F432" s="52">
        <f t="shared" si="32"/>
        <v>51.48</v>
      </c>
      <c r="G432" s="52">
        <f t="shared" si="32"/>
        <v>368.86</v>
      </c>
      <c r="H432" s="52">
        <f t="shared" si="32"/>
        <v>21.259999999999998</v>
      </c>
    </row>
    <row r="433" spans="1:8" ht="89.25" thickBot="1">
      <c r="A433" s="47"/>
      <c r="B433" s="24"/>
      <c r="C433" s="51"/>
      <c r="D433" s="40" t="s">
        <v>0</v>
      </c>
      <c r="E433" s="41" t="s">
        <v>1</v>
      </c>
      <c r="F433" s="41" t="s">
        <v>2</v>
      </c>
      <c r="G433" s="149" t="s">
        <v>3</v>
      </c>
      <c r="H433" s="41" t="s">
        <v>4</v>
      </c>
    </row>
    <row r="434" spans="1:8" ht="89.25" thickBot="1">
      <c r="A434" s="47"/>
      <c r="B434" s="58" t="s">
        <v>10</v>
      </c>
      <c r="C434" s="51"/>
      <c r="D434" s="52">
        <f>D410+D413+D421+D425+D432</f>
        <v>66.61999999999999</v>
      </c>
      <c r="E434" s="52">
        <f>E410+E413+E421+E425+E432</f>
        <v>58.97</v>
      </c>
      <c r="F434" s="52">
        <f>F410+F413+F421+F425+F432</f>
        <v>268.55</v>
      </c>
      <c r="G434" s="52">
        <f>G410+G413+G421+G425+G432</f>
        <v>1937.7600000000002</v>
      </c>
      <c r="H434" s="52">
        <f>H410+H413+H421+H425+H432</f>
        <v>41.47</v>
      </c>
    </row>
    <row r="435" spans="1:8" ht="89.25" thickBot="1">
      <c r="A435" s="68"/>
      <c r="B435" s="69" t="s">
        <v>11</v>
      </c>
      <c r="C435" s="70"/>
      <c r="D435" s="52">
        <v>54</v>
      </c>
      <c r="E435" s="52">
        <v>60</v>
      </c>
      <c r="F435" s="52">
        <v>261</v>
      </c>
      <c r="G435" s="52">
        <v>1800</v>
      </c>
      <c r="H435" s="52">
        <v>50</v>
      </c>
    </row>
    <row r="436" spans="1:8" ht="263.25" thickBot="1">
      <c r="A436" s="42"/>
      <c r="B436" s="59" t="s">
        <v>12</v>
      </c>
      <c r="C436" s="41"/>
      <c r="D436" s="60">
        <f>D434*100/D435</f>
        <v>123.37037037037035</v>
      </c>
      <c r="E436" s="60">
        <f>E434*100/E435</f>
        <v>98.28333333333333</v>
      </c>
      <c r="F436" s="60">
        <f>F434*100/F435</f>
        <v>102.89272030651341</v>
      </c>
      <c r="G436" s="60">
        <f>G434*100/G435</f>
        <v>107.65333333333335</v>
      </c>
      <c r="H436" s="60">
        <f>H434*100/H435</f>
        <v>82.94</v>
      </c>
    </row>
    <row r="437" spans="1:8" ht="88.5">
      <c r="A437" s="61"/>
      <c r="B437" s="147"/>
      <c r="C437" s="146"/>
      <c r="D437" s="62"/>
      <c r="E437" s="62"/>
      <c r="F437" s="62"/>
      <c r="G437" s="62"/>
      <c r="H437" s="62"/>
    </row>
    <row r="438" spans="1:9" ht="89.25" thickBot="1">
      <c r="A438" s="61"/>
      <c r="B438" s="38" t="s">
        <v>68</v>
      </c>
      <c r="C438" s="38"/>
      <c r="E438" s="62"/>
      <c r="F438" s="62"/>
      <c r="G438" s="62"/>
      <c r="H438" s="62"/>
      <c r="I438" s="71"/>
    </row>
    <row r="439" spans="1:9" s="72" customFormat="1" ht="102.75" thickBot="1">
      <c r="A439" s="61"/>
      <c r="B439" s="38" t="s">
        <v>271</v>
      </c>
      <c r="C439" s="39"/>
      <c r="D439" s="38"/>
      <c r="E439" s="38"/>
      <c r="F439" s="38"/>
      <c r="G439" s="38"/>
      <c r="H439" s="38"/>
      <c r="I439" s="71"/>
    </row>
    <row r="440" spans="1:8" s="71" customFormat="1" ht="88.5">
      <c r="A440" s="61"/>
      <c r="B440" s="38" t="s">
        <v>67</v>
      </c>
      <c r="C440" s="39"/>
      <c r="D440" s="38"/>
      <c r="E440" s="38"/>
      <c r="F440" s="38"/>
      <c r="G440" s="38"/>
      <c r="H440" s="38"/>
    </row>
    <row r="441" spans="1:2" ht="88.5">
      <c r="A441" s="61"/>
      <c r="B441" s="38" t="s">
        <v>151</v>
      </c>
    </row>
    <row r="442" spans="1:8" ht="88.5">
      <c r="A442" s="61"/>
      <c r="B442" s="61"/>
      <c r="C442" s="61"/>
      <c r="D442" s="61"/>
      <c r="E442" s="61"/>
      <c r="F442" s="61"/>
      <c r="G442" s="61"/>
      <c r="H442" s="61"/>
    </row>
    <row r="443" spans="1:8" ht="88.5">
      <c r="A443" s="175" t="s">
        <v>185</v>
      </c>
      <c r="B443" s="175"/>
      <c r="C443" s="175"/>
      <c r="D443" s="175"/>
      <c r="E443" s="175"/>
      <c r="F443" s="175"/>
      <c r="G443" s="175"/>
      <c r="H443" s="175"/>
    </row>
    <row r="444" spans="1:8" ht="88.5">
      <c r="A444" s="175" t="s">
        <v>48</v>
      </c>
      <c r="B444" s="175"/>
      <c r="C444" s="175"/>
      <c r="D444" s="175"/>
      <c r="E444" s="175"/>
      <c r="F444" s="175"/>
      <c r="G444" s="175"/>
      <c r="H444" s="175"/>
    </row>
    <row r="445" spans="1:8" ht="88.5">
      <c r="A445" s="176" t="s">
        <v>49</v>
      </c>
      <c r="B445" s="176"/>
      <c r="C445" s="176"/>
      <c r="D445" s="176"/>
      <c r="E445" s="176"/>
      <c r="F445" s="176"/>
      <c r="G445" s="176"/>
      <c r="H445" s="176"/>
    </row>
    <row r="446" spans="1:8" ht="89.25" thickBot="1">
      <c r="A446" s="177"/>
      <c r="B446" s="177"/>
      <c r="C446" s="177"/>
      <c r="D446" s="177"/>
      <c r="E446" s="177"/>
      <c r="F446" s="177"/>
      <c r="G446" s="177"/>
      <c r="H446" s="177"/>
    </row>
    <row r="447" spans="1:8" ht="89.25" thickBot="1">
      <c r="A447" s="178" t="s">
        <v>30</v>
      </c>
      <c r="B447" s="180" t="s">
        <v>50</v>
      </c>
      <c r="C447" s="183" t="s">
        <v>111</v>
      </c>
      <c r="D447" s="188" t="s">
        <v>24</v>
      </c>
      <c r="E447" s="189"/>
      <c r="F447" s="190"/>
      <c r="G447" s="180" t="s">
        <v>51</v>
      </c>
      <c r="H447" s="180" t="s">
        <v>112</v>
      </c>
    </row>
    <row r="448" spans="1:8" ht="89.25" thickBot="1">
      <c r="A448" s="179"/>
      <c r="B448" s="181"/>
      <c r="C448" s="184"/>
      <c r="D448" s="40" t="s">
        <v>0</v>
      </c>
      <c r="E448" s="41" t="s">
        <v>1</v>
      </c>
      <c r="F448" s="41" t="s">
        <v>2</v>
      </c>
      <c r="G448" s="181"/>
      <c r="H448" s="181"/>
    </row>
    <row r="449" spans="1:8" ht="89.25" thickBot="1">
      <c r="A449" s="42">
        <v>1</v>
      </c>
      <c r="B449" s="43">
        <v>2</v>
      </c>
      <c r="C449" s="44">
        <v>3</v>
      </c>
      <c r="D449" s="45">
        <v>4</v>
      </c>
      <c r="E449" s="43">
        <v>5</v>
      </c>
      <c r="F449" s="43">
        <v>6</v>
      </c>
      <c r="G449" s="43">
        <v>7</v>
      </c>
      <c r="H449" s="43">
        <v>8</v>
      </c>
    </row>
    <row r="450" spans="1:8" ht="89.25" thickBot="1">
      <c r="A450" s="172" t="s">
        <v>5</v>
      </c>
      <c r="B450" s="173"/>
      <c r="C450" s="173"/>
      <c r="D450" s="173"/>
      <c r="E450" s="173"/>
      <c r="F450" s="173"/>
      <c r="G450" s="173"/>
      <c r="H450" s="174"/>
    </row>
    <row r="451" spans="1:8" ht="177.75" thickBot="1">
      <c r="A451" s="54">
        <v>85</v>
      </c>
      <c r="B451" s="26" t="s">
        <v>103</v>
      </c>
      <c r="C451" s="34">
        <v>150</v>
      </c>
      <c r="D451" s="48">
        <v>8.01</v>
      </c>
      <c r="E451" s="48">
        <v>8.29</v>
      </c>
      <c r="F451" s="48">
        <v>34.86</v>
      </c>
      <c r="G451" s="48">
        <v>251.25</v>
      </c>
      <c r="H451" s="48">
        <v>0.08</v>
      </c>
    </row>
    <row r="452" spans="1:8" ht="89.25" thickBot="1">
      <c r="A452" s="54">
        <v>41</v>
      </c>
      <c r="B452" s="24" t="s">
        <v>101</v>
      </c>
      <c r="C452" s="53" t="s">
        <v>34</v>
      </c>
      <c r="D452" s="52">
        <v>0.72</v>
      </c>
      <c r="E452" s="52">
        <v>2.84</v>
      </c>
      <c r="F452" s="52">
        <v>4.64</v>
      </c>
      <c r="G452" s="52">
        <v>46.8</v>
      </c>
      <c r="H452" s="52">
        <v>5.76</v>
      </c>
    </row>
    <row r="453" spans="1:8" ht="89.25" thickBot="1">
      <c r="A453" s="49">
        <v>31</v>
      </c>
      <c r="B453" s="50" t="s">
        <v>9</v>
      </c>
      <c r="C453" s="34">
        <v>200</v>
      </c>
      <c r="D453" s="48">
        <v>0.04</v>
      </c>
      <c r="E453" s="48">
        <v>0</v>
      </c>
      <c r="F453" s="48">
        <v>12.13</v>
      </c>
      <c r="G453" s="48">
        <v>47</v>
      </c>
      <c r="H453" s="48">
        <v>2</v>
      </c>
    </row>
    <row r="454" spans="1:8" ht="89.25" thickBot="1">
      <c r="A454" s="47">
        <v>16</v>
      </c>
      <c r="B454" s="24" t="s">
        <v>36</v>
      </c>
      <c r="C454" s="53" t="s">
        <v>155</v>
      </c>
      <c r="D454" s="52">
        <v>1.94</v>
      </c>
      <c r="E454" s="52">
        <v>3.77</v>
      </c>
      <c r="F454" s="52">
        <v>12.36</v>
      </c>
      <c r="G454" s="52">
        <v>91</v>
      </c>
      <c r="H454" s="52">
        <v>0</v>
      </c>
    </row>
    <row r="455" spans="1:8" ht="89.25" thickBot="1">
      <c r="A455" s="47"/>
      <c r="B455" s="24" t="s">
        <v>6</v>
      </c>
      <c r="C455" s="34">
        <f aca="true" t="shared" si="33" ref="C455:H455">C451+C452+C453+C454</f>
        <v>440</v>
      </c>
      <c r="D455" s="52">
        <f t="shared" si="33"/>
        <v>10.709999999999999</v>
      </c>
      <c r="E455" s="52">
        <f t="shared" si="33"/>
        <v>14.899999999999999</v>
      </c>
      <c r="F455" s="52">
        <f t="shared" si="33"/>
        <v>63.99</v>
      </c>
      <c r="G455" s="52">
        <f t="shared" si="33"/>
        <v>436.05</v>
      </c>
      <c r="H455" s="52">
        <f t="shared" si="33"/>
        <v>7.84</v>
      </c>
    </row>
    <row r="456" spans="1:8" ht="89.25" thickBot="1">
      <c r="A456" s="172" t="s">
        <v>53</v>
      </c>
      <c r="B456" s="173"/>
      <c r="C456" s="173"/>
      <c r="D456" s="173"/>
      <c r="E456" s="173"/>
      <c r="F456" s="173"/>
      <c r="G456" s="173"/>
      <c r="H456" s="174"/>
    </row>
    <row r="457" spans="1:8" ht="89.25" thickBot="1">
      <c r="A457" s="47" t="s">
        <v>32</v>
      </c>
      <c r="B457" s="24" t="s">
        <v>182</v>
      </c>
      <c r="C457" s="53" t="s">
        <v>27</v>
      </c>
      <c r="D457" s="52">
        <v>0.3</v>
      </c>
      <c r="E457" s="52">
        <v>0.17</v>
      </c>
      <c r="F457" s="52">
        <v>15.17</v>
      </c>
      <c r="G457" s="52">
        <v>69</v>
      </c>
      <c r="H457" s="52">
        <v>3</v>
      </c>
    </row>
    <row r="458" spans="1:8" ht="89.25" thickBot="1">
      <c r="A458" s="47"/>
      <c r="B458" s="24" t="s">
        <v>6</v>
      </c>
      <c r="C458" s="51" t="s">
        <v>27</v>
      </c>
      <c r="D458" s="52">
        <f>SUM(D457)</f>
        <v>0.3</v>
      </c>
      <c r="E458" s="52">
        <f>SUM(E457)</f>
        <v>0.17</v>
      </c>
      <c r="F458" s="52">
        <f>SUM(F457)</f>
        <v>15.17</v>
      </c>
      <c r="G458" s="52">
        <f>SUM(G457)</f>
        <v>69</v>
      </c>
      <c r="H458" s="52">
        <f>SUM(H457)</f>
        <v>3</v>
      </c>
    </row>
    <row r="459" spans="1:8" ht="89.25" thickBot="1">
      <c r="A459" s="185" t="s">
        <v>31</v>
      </c>
      <c r="B459" s="186"/>
      <c r="C459" s="186"/>
      <c r="D459" s="186"/>
      <c r="E459" s="186"/>
      <c r="F459" s="186"/>
      <c r="G459" s="186"/>
      <c r="H459" s="187"/>
    </row>
    <row r="460" spans="1:8" ht="266.25" thickBot="1">
      <c r="A460" s="54">
        <v>38</v>
      </c>
      <c r="B460" s="24" t="s">
        <v>268</v>
      </c>
      <c r="C460" s="53">
        <v>40</v>
      </c>
      <c r="D460" s="52">
        <v>1.75</v>
      </c>
      <c r="E460" s="52">
        <v>0.08</v>
      </c>
      <c r="F460" s="52">
        <v>3.33</v>
      </c>
      <c r="G460" s="52">
        <v>22</v>
      </c>
      <c r="H460" s="52">
        <v>4</v>
      </c>
    </row>
    <row r="461" spans="1:8" ht="266.25" thickBot="1">
      <c r="A461" s="47">
        <v>5</v>
      </c>
      <c r="B461" s="24" t="s">
        <v>175</v>
      </c>
      <c r="C461" s="51" t="s">
        <v>25</v>
      </c>
      <c r="D461" s="52">
        <v>2.96</v>
      </c>
      <c r="E461" s="52">
        <v>4.79</v>
      </c>
      <c r="F461" s="52">
        <v>8.4</v>
      </c>
      <c r="G461" s="52">
        <v>96.69</v>
      </c>
      <c r="H461" s="52">
        <v>9.15</v>
      </c>
    </row>
    <row r="462" spans="1:8" ht="89.25" thickBot="1">
      <c r="A462" s="47">
        <v>61</v>
      </c>
      <c r="B462" s="24" t="s">
        <v>267</v>
      </c>
      <c r="C462" s="51" t="s">
        <v>25</v>
      </c>
      <c r="D462" s="52">
        <v>19.08</v>
      </c>
      <c r="E462" s="52">
        <v>17.67</v>
      </c>
      <c r="F462" s="52">
        <v>33.83</v>
      </c>
      <c r="G462" s="52">
        <v>366.9</v>
      </c>
      <c r="H462" s="52">
        <v>2.69</v>
      </c>
    </row>
    <row r="463" spans="1:8" ht="89.25" thickBot="1">
      <c r="A463" s="47">
        <v>9</v>
      </c>
      <c r="B463" s="26" t="s">
        <v>207</v>
      </c>
      <c r="C463" s="53" t="s">
        <v>25</v>
      </c>
      <c r="D463" s="52">
        <v>0.32</v>
      </c>
      <c r="E463" s="52">
        <v>0</v>
      </c>
      <c r="F463" s="52">
        <v>24.85</v>
      </c>
      <c r="G463" s="52">
        <v>99</v>
      </c>
      <c r="H463" s="52">
        <v>0</v>
      </c>
    </row>
    <row r="464" spans="1:8" ht="177.75" thickBot="1">
      <c r="A464" s="47" t="s">
        <v>32</v>
      </c>
      <c r="B464" s="24" t="s">
        <v>56</v>
      </c>
      <c r="C464" s="34">
        <v>25</v>
      </c>
      <c r="D464" s="52">
        <v>2</v>
      </c>
      <c r="E464" s="52">
        <v>0.25</v>
      </c>
      <c r="F464" s="52">
        <v>12.05</v>
      </c>
      <c r="G464" s="52">
        <v>59</v>
      </c>
      <c r="H464" s="52">
        <v>0</v>
      </c>
    </row>
    <row r="465" spans="1:8" ht="177.75" thickBot="1">
      <c r="A465" s="47" t="s">
        <v>32</v>
      </c>
      <c r="B465" s="24" t="s">
        <v>58</v>
      </c>
      <c r="C465" s="34">
        <v>50</v>
      </c>
      <c r="D465" s="52">
        <v>2.8</v>
      </c>
      <c r="E465" s="52">
        <v>0.6</v>
      </c>
      <c r="F465" s="52">
        <v>24.7</v>
      </c>
      <c r="G465" s="52">
        <v>116</v>
      </c>
      <c r="H465" s="52">
        <v>0</v>
      </c>
    </row>
    <row r="466" spans="1:8" ht="89.25" thickBot="1">
      <c r="A466" s="42"/>
      <c r="B466" s="24" t="s">
        <v>6</v>
      </c>
      <c r="C466" s="34">
        <f aca="true" t="shared" si="34" ref="C466:H466">C460+C461+C462+C463+C464+C465</f>
        <v>715</v>
      </c>
      <c r="D466" s="52">
        <f t="shared" si="34"/>
        <v>28.91</v>
      </c>
      <c r="E466" s="52">
        <f t="shared" si="34"/>
        <v>23.390000000000004</v>
      </c>
      <c r="F466" s="52">
        <f t="shared" si="34"/>
        <v>107.16</v>
      </c>
      <c r="G466" s="52">
        <f t="shared" si="34"/>
        <v>759.5899999999999</v>
      </c>
      <c r="H466" s="52">
        <f t="shared" si="34"/>
        <v>15.84</v>
      </c>
    </row>
    <row r="467" spans="1:8" ht="89.25" thickBot="1">
      <c r="A467" s="172" t="s">
        <v>145</v>
      </c>
      <c r="B467" s="173"/>
      <c r="C467" s="173"/>
      <c r="D467" s="173"/>
      <c r="E467" s="173"/>
      <c r="F467" s="173"/>
      <c r="G467" s="173"/>
      <c r="H467" s="174"/>
    </row>
    <row r="468" spans="1:8" ht="266.25" thickBot="1">
      <c r="A468" s="55">
        <v>21.1</v>
      </c>
      <c r="B468" s="56" t="s">
        <v>172</v>
      </c>
      <c r="C468" s="51" t="s">
        <v>115</v>
      </c>
      <c r="D468" s="48">
        <v>5.22</v>
      </c>
      <c r="E468" s="48">
        <v>5.76</v>
      </c>
      <c r="F468" s="48">
        <v>7.2</v>
      </c>
      <c r="G468" s="48">
        <v>106.2</v>
      </c>
      <c r="H468" s="48">
        <v>1.26</v>
      </c>
    </row>
    <row r="469" spans="1:8" ht="89.25" thickBot="1">
      <c r="A469" s="47">
        <v>48</v>
      </c>
      <c r="B469" s="24" t="s">
        <v>217</v>
      </c>
      <c r="C469" s="51" t="s">
        <v>59</v>
      </c>
      <c r="D469" s="52">
        <v>5.71</v>
      </c>
      <c r="E469" s="52">
        <v>7.73</v>
      </c>
      <c r="F469" s="52">
        <v>36.81</v>
      </c>
      <c r="G469" s="52">
        <v>257</v>
      </c>
      <c r="H469" s="52">
        <v>0.29</v>
      </c>
    </row>
    <row r="470" spans="1:8" ht="89.25" thickBot="1">
      <c r="A470" s="54"/>
      <c r="B470" s="24" t="s">
        <v>29</v>
      </c>
      <c r="C470" s="34">
        <f aca="true" t="shared" si="35" ref="C470:H470">C468+C469</f>
        <v>250</v>
      </c>
      <c r="D470" s="34">
        <f t="shared" si="35"/>
        <v>10.93</v>
      </c>
      <c r="E470" s="34">
        <f t="shared" si="35"/>
        <v>13.49</v>
      </c>
      <c r="F470" s="34">
        <f t="shared" si="35"/>
        <v>44.010000000000005</v>
      </c>
      <c r="G470" s="34">
        <f t="shared" si="35"/>
        <v>363.2</v>
      </c>
      <c r="H470" s="34">
        <f t="shared" si="35"/>
        <v>1.55</v>
      </c>
    </row>
    <row r="471" spans="1:8" ht="89.25" thickBot="1">
      <c r="A471" s="185" t="s">
        <v>144</v>
      </c>
      <c r="B471" s="186"/>
      <c r="C471" s="186"/>
      <c r="D471" s="186"/>
      <c r="E471" s="186"/>
      <c r="F471" s="186"/>
      <c r="G471" s="186"/>
      <c r="H471" s="187"/>
    </row>
    <row r="472" spans="1:8" ht="89.25" thickBot="1">
      <c r="A472" s="47">
        <v>27</v>
      </c>
      <c r="B472" s="24" t="s">
        <v>73</v>
      </c>
      <c r="C472" s="34">
        <v>230</v>
      </c>
      <c r="D472" s="52">
        <v>3.84</v>
      </c>
      <c r="E472" s="52">
        <v>6.18</v>
      </c>
      <c r="F472" s="52">
        <v>17.25</v>
      </c>
      <c r="G472" s="52">
        <v>163</v>
      </c>
      <c r="H472" s="52">
        <v>10.76</v>
      </c>
    </row>
    <row r="473" spans="1:8" ht="89.25" thickBot="1">
      <c r="A473" s="54">
        <v>15</v>
      </c>
      <c r="B473" s="50" t="s">
        <v>224</v>
      </c>
      <c r="C473" s="34">
        <v>200</v>
      </c>
      <c r="D473" s="52">
        <v>3.12</v>
      </c>
      <c r="E473" s="52">
        <v>3.39</v>
      </c>
      <c r="F473" s="52">
        <v>15.81</v>
      </c>
      <c r="G473" s="52">
        <v>106</v>
      </c>
      <c r="H473" s="52">
        <v>1.3</v>
      </c>
    </row>
    <row r="474" spans="1:8" ht="177.75" thickBot="1">
      <c r="A474" s="47">
        <v>69</v>
      </c>
      <c r="B474" s="24" t="s">
        <v>106</v>
      </c>
      <c r="C474" s="51" t="s">
        <v>253</v>
      </c>
      <c r="D474" s="52">
        <v>0.34</v>
      </c>
      <c r="E474" s="52">
        <v>0.34</v>
      </c>
      <c r="F474" s="52">
        <v>8.33</v>
      </c>
      <c r="G474" s="52">
        <v>39.95</v>
      </c>
      <c r="H474" s="52">
        <v>8.5</v>
      </c>
    </row>
    <row r="475" spans="1:8" ht="177.75" thickBot="1">
      <c r="A475" s="47" t="s">
        <v>32</v>
      </c>
      <c r="B475" s="24" t="s">
        <v>56</v>
      </c>
      <c r="C475" s="34">
        <v>25</v>
      </c>
      <c r="D475" s="52">
        <v>2</v>
      </c>
      <c r="E475" s="52">
        <v>0.25</v>
      </c>
      <c r="F475" s="52">
        <v>12.05</v>
      </c>
      <c r="G475" s="52">
        <v>59</v>
      </c>
      <c r="H475" s="52">
        <v>0</v>
      </c>
    </row>
    <row r="476" spans="1:8" ht="89.25" thickBot="1">
      <c r="A476" s="42"/>
      <c r="B476" s="24" t="s">
        <v>6</v>
      </c>
      <c r="C476" s="34">
        <f aca="true" t="shared" si="36" ref="C476:H476">C472+C473+C474+C475</f>
        <v>540</v>
      </c>
      <c r="D476" s="52">
        <f t="shared" si="36"/>
        <v>9.3</v>
      </c>
      <c r="E476" s="52">
        <f t="shared" si="36"/>
        <v>10.16</v>
      </c>
      <c r="F476" s="52">
        <f t="shared" si="36"/>
        <v>53.44</v>
      </c>
      <c r="G476" s="52">
        <f t="shared" si="36"/>
        <v>367.95</v>
      </c>
      <c r="H476" s="52">
        <f t="shared" si="36"/>
        <v>20.560000000000002</v>
      </c>
    </row>
    <row r="477" spans="1:8" ht="89.25" thickBot="1">
      <c r="A477" s="47"/>
      <c r="B477" s="24"/>
      <c r="C477" s="51"/>
      <c r="D477" s="40" t="s">
        <v>0</v>
      </c>
      <c r="E477" s="41" t="s">
        <v>1</v>
      </c>
      <c r="F477" s="41" t="s">
        <v>2</v>
      </c>
      <c r="G477" s="149" t="s">
        <v>3</v>
      </c>
      <c r="H477" s="41" t="s">
        <v>4</v>
      </c>
    </row>
    <row r="478" spans="1:8" ht="89.25" thickBot="1">
      <c r="A478" s="47"/>
      <c r="B478" s="58" t="s">
        <v>10</v>
      </c>
      <c r="C478" s="51"/>
      <c r="D478" s="52">
        <f>D455+D458+D466+D470+D476</f>
        <v>60.150000000000006</v>
      </c>
      <c r="E478" s="52">
        <f>E455+E458+E466+E470+E476</f>
        <v>62.11</v>
      </c>
      <c r="F478" s="52">
        <f>F455+F458+F466+F470+F476</f>
        <v>283.77</v>
      </c>
      <c r="G478" s="52">
        <f>G455+G458+G466+G470+G476</f>
        <v>1995.79</v>
      </c>
      <c r="H478" s="52">
        <f>H455+H458+H466+H470+H476</f>
        <v>48.790000000000006</v>
      </c>
    </row>
    <row r="479" spans="1:8" ht="89.25" thickBot="1">
      <c r="A479" s="47"/>
      <c r="B479" s="58" t="s">
        <v>11</v>
      </c>
      <c r="C479" s="51"/>
      <c r="D479" s="52">
        <v>54</v>
      </c>
      <c r="E479" s="52">
        <v>60</v>
      </c>
      <c r="F479" s="52">
        <v>261</v>
      </c>
      <c r="G479" s="52">
        <v>1800</v>
      </c>
      <c r="H479" s="52">
        <v>50</v>
      </c>
    </row>
    <row r="480" spans="1:8" ht="263.25" thickBot="1">
      <c r="A480" s="42"/>
      <c r="B480" s="59" t="s">
        <v>12</v>
      </c>
      <c r="C480" s="41"/>
      <c r="D480" s="60">
        <f>D478*100/D479</f>
        <v>111.3888888888889</v>
      </c>
      <c r="E480" s="60">
        <f>E478*100/E479</f>
        <v>103.51666666666667</v>
      </c>
      <c r="F480" s="60">
        <f>F478*100/F479</f>
        <v>108.72413793103448</v>
      </c>
      <c r="G480" s="60">
        <f>G478*100/G479</f>
        <v>110.87722222222222</v>
      </c>
      <c r="H480" s="60">
        <f>H478*100/H479</f>
        <v>97.58000000000001</v>
      </c>
    </row>
    <row r="481" spans="1:8" ht="88.5">
      <c r="A481" s="61"/>
      <c r="B481" s="61"/>
      <c r="C481" s="61"/>
      <c r="D481" s="61"/>
      <c r="E481" s="61"/>
      <c r="F481" s="61"/>
      <c r="G481" s="61"/>
      <c r="H481" s="61"/>
    </row>
    <row r="482" spans="1:8" ht="88.5">
      <c r="A482" s="61"/>
      <c r="B482" s="38" t="s">
        <v>68</v>
      </c>
      <c r="C482" s="38"/>
      <c r="E482" s="62"/>
      <c r="F482" s="62"/>
      <c r="G482" s="62"/>
      <c r="H482" s="62"/>
    </row>
    <row r="483" spans="1:2" ht="102">
      <c r="A483" s="61"/>
      <c r="B483" s="38" t="s">
        <v>271</v>
      </c>
    </row>
    <row r="484" spans="1:2" ht="88.5">
      <c r="A484" s="61"/>
      <c r="B484" s="38" t="s">
        <v>67</v>
      </c>
    </row>
    <row r="485" spans="1:2" ht="88.5">
      <c r="A485" s="61"/>
      <c r="B485" s="38" t="s">
        <v>151</v>
      </c>
    </row>
    <row r="486" spans="1:8" ht="88.5">
      <c r="A486" s="61"/>
      <c r="B486" s="61"/>
      <c r="C486" s="61"/>
      <c r="D486" s="61"/>
      <c r="E486" s="61"/>
      <c r="F486" s="61"/>
      <c r="G486" s="61"/>
      <c r="H486" s="61"/>
    </row>
    <row r="487" spans="1:8" ht="89.25" thickBot="1">
      <c r="A487" s="175" t="s">
        <v>189</v>
      </c>
      <c r="B487" s="175"/>
      <c r="C487" s="175"/>
      <c r="D487" s="175"/>
      <c r="E487" s="175"/>
      <c r="F487" s="175"/>
      <c r="G487" s="175"/>
      <c r="H487" s="175"/>
    </row>
    <row r="488" spans="1:13" s="72" customFormat="1" ht="89.25" thickBot="1">
      <c r="A488" s="182" t="s">
        <v>48</v>
      </c>
      <c r="B488" s="182"/>
      <c r="C488" s="182"/>
      <c r="D488" s="182"/>
      <c r="E488" s="182"/>
      <c r="F488" s="182"/>
      <c r="G488" s="182"/>
      <c r="H488" s="182"/>
      <c r="I488" s="71"/>
      <c r="J488" s="71"/>
      <c r="K488" s="71"/>
      <c r="L488" s="71"/>
      <c r="M488" s="71"/>
    </row>
    <row r="489" spans="1:13" ht="88.5">
      <c r="A489" s="176" t="s">
        <v>49</v>
      </c>
      <c r="B489" s="176"/>
      <c r="C489" s="176"/>
      <c r="D489" s="176"/>
      <c r="E489" s="176"/>
      <c r="F489" s="176"/>
      <c r="G489" s="176"/>
      <c r="H489" s="176"/>
      <c r="I489" s="71"/>
      <c r="J489" s="71"/>
      <c r="K489" s="71"/>
      <c r="L489" s="71"/>
      <c r="M489" s="71"/>
    </row>
    <row r="490" spans="1:8" ht="89.25" thickBot="1">
      <c r="A490" s="147"/>
      <c r="B490" s="147"/>
      <c r="C490" s="147"/>
      <c r="D490" s="147"/>
      <c r="E490" s="147"/>
      <c r="F490" s="147"/>
      <c r="G490" s="147"/>
      <c r="H490" s="147"/>
    </row>
    <row r="491" spans="1:8" ht="89.25" thickBot="1">
      <c r="A491" s="178" t="s">
        <v>30</v>
      </c>
      <c r="B491" s="180" t="s">
        <v>50</v>
      </c>
      <c r="C491" s="183" t="s">
        <v>111</v>
      </c>
      <c r="D491" s="172" t="s">
        <v>24</v>
      </c>
      <c r="E491" s="173"/>
      <c r="F491" s="174"/>
      <c r="G491" s="180" t="s">
        <v>51</v>
      </c>
      <c r="H491" s="180" t="s">
        <v>112</v>
      </c>
    </row>
    <row r="492" spans="1:8" ht="89.25" thickBot="1">
      <c r="A492" s="179"/>
      <c r="B492" s="181"/>
      <c r="C492" s="184"/>
      <c r="D492" s="40" t="s">
        <v>0</v>
      </c>
      <c r="E492" s="41" t="s">
        <v>1</v>
      </c>
      <c r="F492" s="41" t="s">
        <v>2</v>
      </c>
      <c r="G492" s="181"/>
      <c r="H492" s="181"/>
    </row>
    <row r="493" spans="1:8" ht="89.25" thickBot="1">
      <c r="A493" s="42">
        <v>1</v>
      </c>
      <c r="B493" s="43">
        <v>2</v>
      </c>
      <c r="C493" s="44">
        <v>3</v>
      </c>
      <c r="D493" s="45">
        <v>4</v>
      </c>
      <c r="E493" s="43">
        <v>5</v>
      </c>
      <c r="F493" s="43">
        <v>6</v>
      </c>
      <c r="G493" s="43">
        <v>7</v>
      </c>
      <c r="H493" s="43">
        <v>8</v>
      </c>
    </row>
    <row r="494" spans="1:8" ht="89.25" thickBot="1">
      <c r="A494" s="172" t="s">
        <v>5</v>
      </c>
      <c r="B494" s="173"/>
      <c r="C494" s="173"/>
      <c r="D494" s="173"/>
      <c r="E494" s="173"/>
      <c r="F494" s="173"/>
      <c r="G494" s="173"/>
      <c r="H494" s="174"/>
    </row>
    <row r="495" spans="1:8" ht="177.75" thickBot="1">
      <c r="A495" s="54">
        <v>23</v>
      </c>
      <c r="B495" s="26" t="s">
        <v>162</v>
      </c>
      <c r="C495" s="51" t="s">
        <v>115</v>
      </c>
      <c r="D495" s="48">
        <v>6.07</v>
      </c>
      <c r="E495" s="48">
        <v>6.08</v>
      </c>
      <c r="F495" s="48">
        <v>26.19</v>
      </c>
      <c r="G495" s="48">
        <v>182</v>
      </c>
      <c r="H495" s="48">
        <v>1.77</v>
      </c>
    </row>
    <row r="496" spans="1:9" ht="177.75" thickBot="1">
      <c r="A496" s="47">
        <v>2</v>
      </c>
      <c r="B496" s="24" t="s">
        <v>69</v>
      </c>
      <c r="C496" s="34">
        <v>200</v>
      </c>
      <c r="D496" s="48">
        <v>3.28</v>
      </c>
      <c r="E496" s="48">
        <v>3.44</v>
      </c>
      <c r="F496" s="48">
        <v>15.92</v>
      </c>
      <c r="G496" s="48">
        <v>105</v>
      </c>
      <c r="H496" s="48">
        <v>1.3</v>
      </c>
      <c r="I496" s="74"/>
    </row>
    <row r="497" spans="1:8" ht="177.75" thickBot="1">
      <c r="A497" s="47">
        <v>3</v>
      </c>
      <c r="B497" s="24" t="s">
        <v>38</v>
      </c>
      <c r="C497" s="51" t="s">
        <v>260</v>
      </c>
      <c r="D497" s="52">
        <v>4.72</v>
      </c>
      <c r="E497" s="52">
        <v>7.31</v>
      </c>
      <c r="F497" s="52">
        <v>12.36</v>
      </c>
      <c r="G497" s="52">
        <v>135</v>
      </c>
      <c r="H497" s="52">
        <v>0.08</v>
      </c>
    </row>
    <row r="498" spans="1:8" ht="89.25" thickBot="1">
      <c r="A498" s="47"/>
      <c r="B498" s="24" t="s">
        <v>6</v>
      </c>
      <c r="C498" s="34">
        <f>C495+C496+C497</f>
        <v>422</v>
      </c>
      <c r="D498" s="52">
        <f>SUM(D495:D497)</f>
        <v>14.07</v>
      </c>
      <c r="E498" s="52">
        <f>SUM(E495:E497)</f>
        <v>16.83</v>
      </c>
      <c r="F498" s="52">
        <f>SUM(F495:F497)</f>
        <v>54.47</v>
      </c>
      <c r="G498" s="52">
        <f>SUM(G495:G497)</f>
        <v>422</v>
      </c>
      <c r="H498" s="52">
        <f>SUM(H495:H497)</f>
        <v>3.1500000000000004</v>
      </c>
    </row>
    <row r="499" spans="1:8" ht="89.25" thickBot="1">
      <c r="A499" s="172" t="s">
        <v>53</v>
      </c>
      <c r="B499" s="173"/>
      <c r="C499" s="173"/>
      <c r="D499" s="173"/>
      <c r="E499" s="173"/>
      <c r="F499" s="173"/>
      <c r="G499" s="173"/>
      <c r="H499" s="174"/>
    </row>
    <row r="500" spans="1:8" ht="89.25" thickBot="1">
      <c r="A500" s="47" t="s">
        <v>32</v>
      </c>
      <c r="B500" s="24" t="s">
        <v>182</v>
      </c>
      <c r="C500" s="53" t="s">
        <v>27</v>
      </c>
      <c r="D500" s="52">
        <v>0.3</v>
      </c>
      <c r="E500" s="52">
        <v>0.17</v>
      </c>
      <c r="F500" s="52">
        <v>15.17</v>
      </c>
      <c r="G500" s="52">
        <v>69</v>
      </c>
      <c r="H500" s="52">
        <v>3</v>
      </c>
    </row>
    <row r="501" spans="1:8" ht="89.25" thickBot="1">
      <c r="A501" s="47"/>
      <c r="B501" s="24" t="s">
        <v>6</v>
      </c>
      <c r="C501" s="51" t="s">
        <v>27</v>
      </c>
      <c r="D501" s="52">
        <f>SUM(D500)</f>
        <v>0.3</v>
      </c>
      <c r="E501" s="52">
        <f>SUM(E500)</f>
        <v>0.17</v>
      </c>
      <c r="F501" s="52">
        <f>SUM(F500)</f>
        <v>15.17</v>
      </c>
      <c r="G501" s="52">
        <f>SUM(G500)</f>
        <v>69</v>
      </c>
      <c r="H501" s="52">
        <f>SUM(H500)</f>
        <v>3</v>
      </c>
    </row>
    <row r="502" spans="1:8" ht="89.25" thickBot="1">
      <c r="A502" s="172" t="s">
        <v>8</v>
      </c>
      <c r="B502" s="173"/>
      <c r="C502" s="173"/>
      <c r="D502" s="173"/>
      <c r="E502" s="173"/>
      <c r="F502" s="173"/>
      <c r="G502" s="173"/>
      <c r="H502" s="174"/>
    </row>
    <row r="503" spans="1:8" ht="177.75" thickBot="1">
      <c r="A503" s="54">
        <v>82</v>
      </c>
      <c r="B503" s="24" t="s">
        <v>229</v>
      </c>
      <c r="C503" s="53" t="s">
        <v>34</v>
      </c>
      <c r="D503" s="52">
        <v>1.54</v>
      </c>
      <c r="E503" s="52">
        <v>4.55</v>
      </c>
      <c r="F503" s="52">
        <v>7.38</v>
      </c>
      <c r="G503" s="52">
        <v>81</v>
      </c>
      <c r="H503" s="52">
        <v>8.66</v>
      </c>
    </row>
    <row r="504" spans="1:8" ht="177.75" thickBot="1">
      <c r="A504" s="47">
        <v>18</v>
      </c>
      <c r="B504" s="24" t="s">
        <v>216</v>
      </c>
      <c r="C504" s="51" t="s">
        <v>25</v>
      </c>
      <c r="D504" s="52">
        <v>3.32</v>
      </c>
      <c r="E504" s="52">
        <v>4.83</v>
      </c>
      <c r="F504" s="52">
        <v>15.74</v>
      </c>
      <c r="G504" s="52">
        <v>115</v>
      </c>
      <c r="H504" s="52">
        <v>6.3</v>
      </c>
    </row>
    <row r="505" spans="1:8" ht="177.75" thickBot="1">
      <c r="A505" s="64">
        <v>64</v>
      </c>
      <c r="B505" s="65" t="s">
        <v>179</v>
      </c>
      <c r="C505" s="66">
        <v>60</v>
      </c>
      <c r="D505" s="67">
        <v>7.69</v>
      </c>
      <c r="E505" s="67">
        <v>8.14</v>
      </c>
      <c r="F505" s="67">
        <v>6.26</v>
      </c>
      <c r="G505" s="67">
        <v>129</v>
      </c>
      <c r="H505" s="67">
        <v>0.67</v>
      </c>
    </row>
    <row r="506" spans="1:8" ht="89.25" thickBot="1">
      <c r="A506" s="47">
        <v>89</v>
      </c>
      <c r="B506" s="24" t="s">
        <v>230</v>
      </c>
      <c r="C506" s="34">
        <v>20</v>
      </c>
      <c r="D506" s="52">
        <v>0.4</v>
      </c>
      <c r="E506" s="52">
        <v>4.49</v>
      </c>
      <c r="F506" s="52">
        <v>1.44</v>
      </c>
      <c r="G506" s="52">
        <v>40</v>
      </c>
      <c r="H506" s="52">
        <v>0.01</v>
      </c>
    </row>
    <row r="507" spans="1:8" ht="89.25" thickBot="1">
      <c r="A507" s="54">
        <v>8</v>
      </c>
      <c r="B507" s="24" t="s">
        <v>37</v>
      </c>
      <c r="C507" s="34">
        <v>130</v>
      </c>
      <c r="D507" s="52">
        <v>2.63</v>
      </c>
      <c r="E507" s="52">
        <v>4.53</v>
      </c>
      <c r="F507" s="52">
        <v>15.66</v>
      </c>
      <c r="G507" s="52">
        <v>123.07</v>
      </c>
      <c r="H507" s="52">
        <v>9.1</v>
      </c>
    </row>
    <row r="508" spans="1:8" ht="89.25" thickBot="1">
      <c r="A508" s="47">
        <v>9</v>
      </c>
      <c r="B508" s="26" t="s">
        <v>225</v>
      </c>
      <c r="C508" s="53" t="s">
        <v>25</v>
      </c>
      <c r="D508" s="52">
        <v>0.94</v>
      </c>
      <c r="E508" s="52">
        <v>0</v>
      </c>
      <c r="F508" s="52">
        <v>22.87</v>
      </c>
      <c r="G508" s="52">
        <v>94</v>
      </c>
      <c r="H508" s="52">
        <v>0.72</v>
      </c>
    </row>
    <row r="509" spans="1:8" ht="177.75" thickBot="1">
      <c r="A509" s="47" t="s">
        <v>32</v>
      </c>
      <c r="B509" s="24" t="s">
        <v>56</v>
      </c>
      <c r="C509" s="34">
        <v>25</v>
      </c>
      <c r="D509" s="52">
        <v>2</v>
      </c>
      <c r="E509" s="52">
        <v>0.25</v>
      </c>
      <c r="F509" s="52">
        <v>12.05</v>
      </c>
      <c r="G509" s="52">
        <v>59</v>
      </c>
      <c r="H509" s="52">
        <v>0</v>
      </c>
    </row>
    <row r="510" spans="1:8" ht="177.75" thickBot="1">
      <c r="A510" s="47" t="s">
        <v>32</v>
      </c>
      <c r="B510" s="24" t="s">
        <v>58</v>
      </c>
      <c r="C510" s="34">
        <v>50</v>
      </c>
      <c r="D510" s="52">
        <v>2.8</v>
      </c>
      <c r="E510" s="52">
        <v>0.6</v>
      </c>
      <c r="F510" s="52">
        <v>24.7</v>
      </c>
      <c r="G510" s="52">
        <v>116</v>
      </c>
      <c r="H510" s="52">
        <v>0</v>
      </c>
    </row>
    <row r="511" spans="1:8" ht="89.25" thickBot="1">
      <c r="A511" s="54"/>
      <c r="B511" s="26" t="s">
        <v>29</v>
      </c>
      <c r="C511" s="34">
        <f aca="true" t="shared" si="37" ref="C511:H511">C503+C504+C505+C506+C507+C508+C509+C510</f>
        <v>745</v>
      </c>
      <c r="D511" s="52">
        <f t="shared" si="37"/>
        <v>21.320000000000004</v>
      </c>
      <c r="E511" s="52">
        <f t="shared" si="37"/>
        <v>27.39</v>
      </c>
      <c r="F511" s="52">
        <f t="shared" si="37"/>
        <v>106.10000000000001</v>
      </c>
      <c r="G511" s="52">
        <f t="shared" si="37"/>
        <v>757.0699999999999</v>
      </c>
      <c r="H511" s="52">
        <f t="shared" si="37"/>
        <v>25.46</v>
      </c>
    </row>
    <row r="512" spans="1:8" ht="89.25" thickBot="1">
      <c r="A512" s="172" t="s">
        <v>145</v>
      </c>
      <c r="B512" s="173"/>
      <c r="C512" s="173"/>
      <c r="D512" s="173"/>
      <c r="E512" s="173"/>
      <c r="F512" s="173"/>
      <c r="G512" s="173"/>
      <c r="H512" s="174"/>
    </row>
    <row r="513" spans="1:8" ht="266.25" thickBot="1">
      <c r="A513" s="55">
        <v>21.1</v>
      </c>
      <c r="B513" s="56" t="s">
        <v>172</v>
      </c>
      <c r="C513" s="51" t="s">
        <v>115</v>
      </c>
      <c r="D513" s="48">
        <v>5.22</v>
      </c>
      <c r="E513" s="48">
        <v>5.76</v>
      </c>
      <c r="F513" s="48">
        <v>7.2</v>
      </c>
      <c r="G513" s="48">
        <v>106.2</v>
      </c>
      <c r="H513" s="48">
        <v>1.26</v>
      </c>
    </row>
    <row r="514" spans="1:8" ht="89.25" thickBot="1">
      <c r="A514" s="64">
        <v>78</v>
      </c>
      <c r="B514" s="65" t="s">
        <v>88</v>
      </c>
      <c r="C514" s="73" t="s">
        <v>59</v>
      </c>
      <c r="D514" s="67">
        <v>5.89</v>
      </c>
      <c r="E514" s="67">
        <v>3.71</v>
      </c>
      <c r="F514" s="67">
        <v>36.2</v>
      </c>
      <c r="G514" s="67">
        <v>219</v>
      </c>
      <c r="H514" s="67">
        <v>0.26</v>
      </c>
    </row>
    <row r="515" spans="1:8" ht="89.25" thickBot="1">
      <c r="A515" s="54"/>
      <c r="B515" s="24" t="s">
        <v>29</v>
      </c>
      <c r="C515" s="34">
        <f aca="true" t="shared" si="38" ref="C515:H515">C513+C514</f>
        <v>250</v>
      </c>
      <c r="D515" s="52">
        <f t="shared" si="38"/>
        <v>11.11</v>
      </c>
      <c r="E515" s="52">
        <f t="shared" si="38"/>
        <v>9.469999999999999</v>
      </c>
      <c r="F515" s="52">
        <f t="shared" si="38"/>
        <v>43.400000000000006</v>
      </c>
      <c r="G515" s="52">
        <f t="shared" si="38"/>
        <v>325.2</v>
      </c>
      <c r="H515" s="52">
        <f t="shared" si="38"/>
        <v>1.52</v>
      </c>
    </row>
    <row r="516" spans="1:8" ht="89.25" thickBot="1">
      <c r="A516" s="172" t="s">
        <v>144</v>
      </c>
      <c r="B516" s="173"/>
      <c r="C516" s="173"/>
      <c r="D516" s="173"/>
      <c r="E516" s="173"/>
      <c r="F516" s="173"/>
      <c r="G516" s="173"/>
      <c r="H516" s="174"/>
    </row>
    <row r="517" spans="1:8" ht="177.75" thickBot="1">
      <c r="A517" s="47">
        <v>67</v>
      </c>
      <c r="B517" s="24" t="s">
        <v>180</v>
      </c>
      <c r="C517" s="53" t="s">
        <v>100</v>
      </c>
      <c r="D517" s="52">
        <v>11.68</v>
      </c>
      <c r="E517" s="52">
        <v>5.05</v>
      </c>
      <c r="F517" s="52">
        <v>10.14</v>
      </c>
      <c r="G517" s="52">
        <v>146.25</v>
      </c>
      <c r="H517" s="52">
        <v>7.5</v>
      </c>
    </row>
    <row r="518" spans="1:8" ht="177.75" thickBot="1">
      <c r="A518" s="47" t="s">
        <v>32</v>
      </c>
      <c r="B518" s="24" t="s">
        <v>56</v>
      </c>
      <c r="C518" s="34">
        <v>25</v>
      </c>
      <c r="D518" s="52">
        <v>2</v>
      </c>
      <c r="E518" s="52">
        <v>0.25</v>
      </c>
      <c r="F518" s="52">
        <v>12.05</v>
      </c>
      <c r="G518" s="52">
        <v>59</v>
      </c>
      <c r="H518" s="52">
        <v>0</v>
      </c>
    </row>
    <row r="519" spans="1:11" ht="89.25" thickBot="1">
      <c r="A519" s="54">
        <v>76</v>
      </c>
      <c r="B519" s="50" t="s">
        <v>171</v>
      </c>
      <c r="C519" s="34">
        <v>200</v>
      </c>
      <c r="D519" s="52">
        <v>2.24</v>
      </c>
      <c r="E519" s="52">
        <v>2.56</v>
      </c>
      <c r="F519" s="52">
        <v>13.74</v>
      </c>
      <c r="G519" s="52">
        <v>86</v>
      </c>
      <c r="H519" s="52">
        <v>1.04</v>
      </c>
      <c r="K519" s="76"/>
    </row>
    <row r="520" spans="1:8" ht="177.75" thickBot="1">
      <c r="A520" s="47">
        <v>69</v>
      </c>
      <c r="B520" s="24" t="s">
        <v>106</v>
      </c>
      <c r="C520" s="51" t="s">
        <v>253</v>
      </c>
      <c r="D520" s="52">
        <v>0.34</v>
      </c>
      <c r="E520" s="52">
        <v>0.34</v>
      </c>
      <c r="F520" s="52">
        <v>8.33</v>
      </c>
      <c r="G520" s="52">
        <v>39.95</v>
      </c>
      <c r="H520" s="52">
        <v>8.5</v>
      </c>
    </row>
    <row r="521" spans="1:8" ht="89.25" thickBot="1">
      <c r="A521" s="47"/>
      <c r="B521" s="24" t="s">
        <v>29</v>
      </c>
      <c r="C521" s="34">
        <f aca="true" t="shared" si="39" ref="C521:H521">C517+C518+C519+C520</f>
        <v>560</v>
      </c>
      <c r="D521" s="52">
        <f t="shared" si="39"/>
        <v>16.26</v>
      </c>
      <c r="E521" s="52">
        <f t="shared" si="39"/>
        <v>8.2</v>
      </c>
      <c r="F521" s="52">
        <f t="shared" si="39"/>
        <v>44.26</v>
      </c>
      <c r="G521" s="52">
        <f t="shared" si="39"/>
        <v>331.2</v>
      </c>
      <c r="H521" s="52">
        <f t="shared" si="39"/>
        <v>17.04</v>
      </c>
    </row>
    <row r="522" spans="1:8" ht="89.25" thickBot="1">
      <c r="A522" s="47"/>
      <c r="B522" s="24"/>
      <c r="C522" s="51"/>
      <c r="D522" s="40" t="s">
        <v>0</v>
      </c>
      <c r="E522" s="41" t="s">
        <v>1</v>
      </c>
      <c r="F522" s="41" t="s">
        <v>2</v>
      </c>
      <c r="G522" s="149" t="s">
        <v>3</v>
      </c>
      <c r="H522" s="41" t="s">
        <v>4</v>
      </c>
    </row>
    <row r="523" spans="1:12" s="46" customFormat="1" ht="89.25" thickBot="1">
      <c r="A523" s="47"/>
      <c r="B523" s="58" t="s">
        <v>10</v>
      </c>
      <c r="C523" s="51"/>
      <c r="D523" s="52">
        <f>D498+D501+D511+D515+D521</f>
        <v>63.06</v>
      </c>
      <c r="E523" s="52">
        <f>E498+E501+E511+E515+E521</f>
        <v>62.06</v>
      </c>
      <c r="F523" s="52">
        <f>F498+F501+F511+F515+F521</f>
        <v>263.40000000000003</v>
      </c>
      <c r="G523" s="52">
        <f>G498+G501+G511+G515+G521</f>
        <v>1904.47</v>
      </c>
      <c r="H523" s="52">
        <f>H498+H501+H511+H515+H521</f>
        <v>50.17</v>
      </c>
      <c r="I523" s="38"/>
      <c r="J523" s="38"/>
      <c r="K523" s="38"/>
      <c r="L523" s="38"/>
    </row>
    <row r="524" spans="1:8" ht="89.25" thickBot="1">
      <c r="A524" s="47"/>
      <c r="B524" s="58" t="s">
        <v>11</v>
      </c>
      <c r="C524" s="51"/>
      <c r="D524" s="52">
        <v>54</v>
      </c>
      <c r="E524" s="52">
        <v>60</v>
      </c>
      <c r="F524" s="52">
        <v>261</v>
      </c>
      <c r="G524" s="52">
        <v>1800</v>
      </c>
      <c r="H524" s="52">
        <v>50</v>
      </c>
    </row>
    <row r="525" spans="1:8" ht="263.25" thickBot="1">
      <c r="A525" s="42"/>
      <c r="B525" s="59" t="s">
        <v>12</v>
      </c>
      <c r="C525" s="41"/>
      <c r="D525" s="60">
        <f>D523*100/D524</f>
        <v>116.77777777777777</v>
      </c>
      <c r="E525" s="60">
        <f>E523*100/E524</f>
        <v>103.43333333333334</v>
      </c>
      <c r="F525" s="60">
        <f>F523*100/F524</f>
        <v>100.91954022988507</v>
      </c>
      <c r="G525" s="60">
        <f>G523*100/G524</f>
        <v>105.80388888888889</v>
      </c>
      <c r="H525" s="60">
        <f>H523*100/H524</f>
        <v>100.34</v>
      </c>
    </row>
    <row r="526" spans="1:8" ht="88.5">
      <c r="A526" s="61"/>
      <c r="B526" s="147"/>
      <c r="C526" s="146"/>
      <c r="D526" s="62"/>
      <c r="E526" s="62"/>
      <c r="F526" s="62"/>
      <c r="G526" s="62"/>
      <c r="H526" s="62"/>
    </row>
    <row r="527" spans="1:8" ht="88.5">
      <c r="A527" s="61"/>
      <c r="B527" s="38" t="s">
        <v>68</v>
      </c>
      <c r="C527" s="38"/>
      <c r="E527" s="62"/>
      <c r="F527" s="62"/>
      <c r="G527" s="62"/>
      <c r="H527" s="62"/>
    </row>
    <row r="528" spans="1:2" ht="102">
      <c r="A528" s="61"/>
      <c r="B528" s="38" t="s">
        <v>271</v>
      </c>
    </row>
    <row r="529" spans="1:2" ht="88.5">
      <c r="A529" s="61"/>
      <c r="B529" s="38" t="s">
        <v>67</v>
      </c>
    </row>
    <row r="530" spans="1:2" ht="88.5">
      <c r="A530" s="61"/>
      <c r="B530" s="38" t="s">
        <v>151</v>
      </c>
    </row>
    <row r="531" spans="1:8" ht="88.5">
      <c r="A531" s="175" t="s">
        <v>193</v>
      </c>
      <c r="B531" s="175"/>
      <c r="C531" s="175"/>
      <c r="D531" s="175"/>
      <c r="E531" s="175"/>
      <c r="F531" s="175"/>
      <c r="G531" s="175"/>
      <c r="H531" s="175"/>
    </row>
    <row r="532" spans="1:8" ht="88.5">
      <c r="A532" s="175" t="s">
        <v>48</v>
      </c>
      <c r="B532" s="175"/>
      <c r="C532" s="175"/>
      <c r="D532" s="175"/>
      <c r="E532" s="175"/>
      <c r="F532" s="175"/>
      <c r="G532" s="175"/>
      <c r="H532" s="175"/>
    </row>
    <row r="533" spans="1:8" ht="88.5">
      <c r="A533" s="176" t="s">
        <v>49</v>
      </c>
      <c r="B533" s="176"/>
      <c r="C533" s="176"/>
      <c r="D533" s="176"/>
      <c r="E533" s="176"/>
      <c r="F533" s="176"/>
      <c r="G533" s="176"/>
      <c r="H533" s="176"/>
    </row>
    <row r="534" spans="1:8" ht="89.25" thickBot="1">
      <c r="A534" s="177"/>
      <c r="B534" s="177"/>
      <c r="C534" s="177"/>
      <c r="D534" s="177"/>
      <c r="E534" s="177"/>
      <c r="F534" s="177"/>
      <c r="G534" s="177"/>
      <c r="H534" s="177"/>
    </row>
    <row r="535" spans="1:8" ht="89.25" thickBot="1">
      <c r="A535" s="178" t="s">
        <v>30</v>
      </c>
      <c r="B535" s="180" t="s">
        <v>50</v>
      </c>
      <c r="C535" s="183" t="s">
        <v>111</v>
      </c>
      <c r="D535" s="172" t="s">
        <v>24</v>
      </c>
      <c r="E535" s="173"/>
      <c r="F535" s="174"/>
      <c r="G535" s="180" t="s">
        <v>51</v>
      </c>
      <c r="H535" s="180" t="s">
        <v>112</v>
      </c>
    </row>
    <row r="536" spans="1:8" ht="89.25" thickBot="1">
      <c r="A536" s="179"/>
      <c r="B536" s="181"/>
      <c r="C536" s="184"/>
      <c r="D536" s="40" t="s">
        <v>0</v>
      </c>
      <c r="E536" s="41" t="s">
        <v>1</v>
      </c>
      <c r="F536" s="41" t="s">
        <v>2</v>
      </c>
      <c r="G536" s="181"/>
      <c r="H536" s="181"/>
    </row>
    <row r="537" spans="1:8" ht="89.25" thickBot="1">
      <c r="A537" s="148">
        <v>1</v>
      </c>
      <c r="B537" s="43">
        <v>2</v>
      </c>
      <c r="C537" s="44">
        <v>3</v>
      </c>
      <c r="D537" s="63">
        <v>4</v>
      </c>
      <c r="E537" s="43">
        <v>5</v>
      </c>
      <c r="F537" s="43">
        <v>6</v>
      </c>
      <c r="G537" s="43">
        <v>7</v>
      </c>
      <c r="H537" s="43">
        <v>8</v>
      </c>
    </row>
    <row r="538" spans="1:8" ht="89.25" thickBot="1">
      <c r="A538" s="172" t="s">
        <v>5</v>
      </c>
      <c r="B538" s="173"/>
      <c r="C538" s="173"/>
      <c r="D538" s="173"/>
      <c r="E538" s="173"/>
      <c r="F538" s="173"/>
      <c r="G538" s="173"/>
      <c r="H538" s="174"/>
    </row>
    <row r="539" spans="1:8" ht="89.25" thickBot="1">
      <c r="A539" s="47">
        <v>14</v>
      </c>
      <c r="B539" s="26" t="s">
        <v>176</v>
      </c>
      <c r="C539" s="34">
        <v>180</v>
      </c>
      <c r="D539" s="52">
        <v>6.44</v>
      </c>
      <c r="E539" s="52">
        <v>6.43</v>
      </c>
      <c r="F539" s="52">
        <v>30.62</v>
      </c>
      <c r="G539" s="60">
        <v>205</v>
      </c>
      <c r="H539" s="60">
        <v>1.77</v>
      </c>
    </row>
    <row r="540" spans="1:8" ht="89.25" thickBot="1">
      <c r="A540" s="54">
        <v>15</v>
      </c>
      <c r="B540" s="50" t="s">
        <v>224</v>
      </c>
      <c r="C540" s="34">
        <v>200</v>
      </c>
      <c r="D540" s="52">
        <v>3.12</v>
      </c>
      <c r="E540" s="52">
        <v>3.39</v>
      </c>
      <c r="F540" s="52">
        <v>15.81</v>
      </c>
      <c r="G540" s="52">
        <v>106</v>
      </c>
      <c r="H540" s="52">
        <v>1.3</v>
      </c>
    </row>
    <row r="541" spans="1:8" ht="89.25" thickBot="1">
      <c r="A541" s="47">
        <v>16</v>
      </c>
      <c r="B541" s="24" t="s">
        <v>36</v>
      </c>
      <c r="C541" s="53" t="s">
        <v>155</v>
      </c>
      <c r="D541" s="52">
        <v>1.94</v>
      </c>
      <c r="E541" s="52">
        <v>3.77</v>
      </c>
      <c r="F541" s="52">
        <v>12.36</v>
      </c>
      <c r="G541" s="52">
        <v>91</v>
      </c>
      <c r="H541" s="52">
        <v>0</v>
      </c>
    </row>
    <row r="542" spans="1:8" ht="89.25" thickBot="1">
      <c r="A542" s="47"/>
      <c r="B542" s="24" t="s">
        <v>6</v>
      </c>
      <c r="C542" s="34">
        <f aca="true" t="shared" si="40" ref="C542:H542">C539+C540+C541</f>
        <v>410</v>
      </c>
      <c r="D542" s="52">
        <f t="shared" si="40"/>
        <v>11.5</v>
      </c>
      <c r="E542" s="52">
        <f t="shared" si="40"/>
        <v>13.59</v>
      </c>
      <c r="F542" s="52">
        <f t="shared" si="40"/>
        <v>58.79</v>
      </c>
      <c r="G542" s="52">
        <f t="shared" si="40"/>
        <v>402</v>
      </c>
      <c r="H542" s="52">
        <f t="shared" si="40"/>
        <v>3.0700000000000003</v>
      </c>
    </row>
    <row r="543" spans="1:9" ht="89.25" thickBot="1">
      <c r="A543" s="172" t="s">
        <v>53</v>
      </c>
      <c r="B543" s="173"/>
      <c r="C543" s="173"/>
      <c r="D543" s="173"/>
      <c r="E543" s="173"/>
      <c r="F543" s="173"/>
      <c r="G543" s="173"/>
      <c r="H543" s="174"/>
      <c r="I543" s="52"/>
    </row>
    <row r="544" spans="1:8" ht="89.25" thickBot="1">
      <c r="A544" s="47" t="s">
        <v>32</v>
      </c>
      <c r="B544" s="24" t="s">
        <v>182</v>
      </c>
      <c r="C544" s="53" t="s">
        <v>27</v>
      </c>
      <c r="D544" s="52">
        <v>0.3</v>
      </c>
      <c r="E544" s="52">
        <v>0.17</v>
      </c>
      <c r="F544" s="52">
        <v>15.17</v>
      </c>
      <c r="G544" s="52">
        <v>69</v>
      </c>
      <c r="H544" s="52">
        <v>3</v>
      </c>
    </row>
    <row r="545" spans="1:8" ht="89.25" thickBot="1">
      <c r="A545" s="47"/>
      <c r="B545" s="24" t="s">
        <v>6</v>
      </c>
      <c r="C545" s="51" t="s">
        <v>27</v>
      </c>
      <c r="D545" s="52">
        <f>SUM(D544)</f>
        <v>0.3</v>
      </c>
      <c r="E545" s="52">
        <f>SUM(E544)</f>
        <v>0.17</v>
      </c>
      <c r="F545" s="52">
        <f>SUM(F544)</f>
        <v>15.17</v>
      </c>
      <c r="G545" s="52">
        <f>SUM(G544)</f>
        <v>69</v>
      </c>
      <c r="H545" s="52">
        <f>SUM(H544)</f>
        <v>3</v>
      </c>
    </row>
    <row r="546" spans="1:8" ht="89.25" thickBot="1">
      <c r="A546" s="185" t="s">
        <v>31</v>
      </c>
      <c r="B546" s="186"/>
      <c r="C546" s="186"/>
      <c r="D546" s="186"/>
      <c r="E546" s="186"/>
      <c r="F546" s="186"/>
      <c r="G546" s="186"/>
      <c r="H546" s="187"/>
    </row>
    <row r="547" spans="1:8" ht="177.75" thickBot="1">
      <c r="A547" s="54">
        <v>12</v>
      </c>
      <c r="B547" s="24" t="s">
        <v>227</v>
      </c>
      <c r="C547" s="34">
        <v>60</v>
      </c>
      <c r="D547" s="52">
        <v>0.93</v>
      </c>
      <c r="E547" s="52">
        <v>6.03</v>
      </c>
      <c r="F547" s="52">
        <v>6.2</v>
      </c>
      <c r="G547" s="52">
        <v>86.67</v>
      </c>
      <c r="H547" s="52">
        <v>2.69</v>
      </c>
    </row>
    <row r="548" spans="1:8" ht="177.75" thickBot="1">
      <c r="A548" s="47">
        <v>30</v>
      </c>
      <c r="B548" s="24" t="s">
        <v>237</v>
      </c>
      <c r="C548" s="53" t="s">
        <v>25</v>
      </c>
      <c r="D548" s="52">
        <v>7.22</v>
      </c>
      <c r="E548" s="52">
        <v>4.77</v>
      </c>
      <c r="F548" s="52">
        <v>11.75</v>
      </c>
      <c r="G548" s="52">
        <v>119</v>
      </c>
      <c r="H548" s="52">
        <v>0.55</v>
      </c>
    </row>
    <row r="549" spans="1:8" ht="89.25" thickBot="1">
      <c r="A549" s="47">
        <v>4</v>
      </c>
      <c r="B549" s="24" t="s">
        <v>215</v>
      </c>
      <c r="C549" s="51" t="s">
        <v>25</v>
      </c>
      <c r="D549" s="52">
        <v>9.87</v>
      </c>
      <c r="E549" s="52">
        <v>13.08</v>
      </c>
      <c r="F549" s="52">
        <v>23.48</v>
      </c>
      <c r="G549" s="52">
        <v>261.33</v>
      </c>
      <c r="H549" s="52">
        <v>13.76</v>
      </c>
    </row>
    <row r="550" spans="1:8" ht="266.25" thickBot="1">
      <c r="A550" s="47">
        <v>20</v>
      </c>
      <c r="B550" s="24" t="s">
        <v>232</v>
      </c>
      <c r="C550" s="53" t="s">
        <v>25</v>
      </c>
      <c r="D550" s="52">
        <v>0</v>
      </c>
      <c r="E550" s="52">
        <v>0</v>
      </c>
      <c r="F550" s="52">
        <v>32.44</v>
      </c>
      <c r="G550" s="52">
        <v>125</v>
      </c>
      <c r="H550" s="52">
        <v>0</v>
      </c>
    </row>
    <row r="551" spans="1:8" ht="177.75" thickBot="1">
      <c r="A551" s="47" t="s">
        <v>32</v>
      </c>
      <c r="B551" s="24" t="s">
        <v>56</v>
      </c>
      <c r="C551" s="34">
        <v>25</v>
      </c>
      <c r="D551" s="52">
        <v>2</v>
      </c>
      <c r="E551" s="52">
        <v>0.25</v>
      </c>
      <c r="F551" s="52">
        <v>12.05</v>
      </c>
      <c r="G551" s="52">
        <v>59</v>
      </c>
      <c r="H551" s="52">
        <v>0</v>
      </c>
    </row>
    <row r="552" spans="1:8" ht="177.75" thickBot="1">
      <c r="A552" s="47" t="s">
        <v>32</v>
      </c>
      <c r="B552" s="24" t="s">
        <v>58</v>
      </c>
      <c r="C552" s="34">
        <v>50</v>
      </c>
      <c r="D552" s="52">
        <v>2.8</v>
      </c>
      <c r="E552" s="52">
        <v>0.6</v>
      </c>
      <c r="F552" s="52">
        <v>24.7</v>
      </c>
      <c r="G552" s="52">
        <v>116</v>
      </c>
      <c r="H552" s="52">
        <v>0</v>
      </c>
    </row>
    <row r="553" spans="1:8" ht="89.25" thickBot="1">
      <c r="A553" s="47"/>
      <c r="B553" s="24" t="s">
        <v>6</v>
      </c>
      <c r="C553" s="34">
        <f aca="true" t="shared" si="41" ref="C553:H553">C547+C548+C549+C550+C551+C552</f>
        <v>735</v>
      </c>
      <c r="D553" s="52">
        <f t="shared" si="41"/>
        <v>22.82</v>
      </c>
      <c r="E553" s="52">
        <f t="shared" si="41"/>
        <v>24.730000000000004</v>
      </c>
      <c r="F553" s="52">
        <f t="shared" si="41"/>
        <v>110.62</v>
      </c>
      <c r="G553" s="52">
        <f t="shared" si="41"/>
        <v>767</v>
      </c>
      <c r="H553" s="52">
        <f t="shared" si="41"/>
        <v>17</v>
      </c>
    </row>
    <row r="554" spans="1:8" ht="89.25" thickBot="1">
      <c r="A554" s="172" t="s">
        <v>145</v>
      </c>
      <c r="B554" s="173"/>
      <c r="C554" s="173"/>
      <c r="D554" s="173"/>
      <c r="E554" s="173"/>
      <c r="F554" s="173"/>
      <c r="G554" s="173"/>
      <c r="H554" s="174"/>
    </row>
    <row r="555" spans="1:8" ht="266.25" thickBot="1">
      <c r="A555" s="55">
        <v>21.1</v>
      </c>
      <c r="B555" s="56" t="s">
        <v>172</v>
      </c>
      <c r="C555" s="51" t="s">
        <v>115</v>
      </c>
      <c r="D555" s="48">
        <v>5.22</v>
      </c>
      <c r="E555" s="48">
        <v>5.76</v>
      </c>
      <c r="F555" s="48">
        <v>7.2</v>
      </c>
      <c r="G555" s="48">
        <v>106.2</v>
      </c>
      <c r="H555" s="48">
        <v>1.26</v>
      </c>
    </row>
    <row r="556" spans="1:8" ht="266.25" thickBot="1">
      <c r="A556" s="47">
        <v>24</v>
      </c>
      <c r="B556" s="24" t="s">
        <v>104</v>
      </c>
      <c r="C556" s="51" t="s">
        <v>270</v>
      </c>
      <c r="D556" s="52">
        <v>1.69</v>
      </c>
      <c r="E556" s="52">
        <v>2.25</v>
      </c>
      <c r="F556" s="52">
        <v>39.39</v>
      </c>
      <c r="G556" s="52">
        <v>163.14</v>
      </c>
      <c r="H556" s="52">
        <v>0</v>
      </c>
    </row>
    <row r="557" spans="1:8" ht="89.25" thickBot="1">
      <c r="A557" s="54"/>
      <c r="B557" s="24" t="s">
        <v>29</v>
      </c>
      <c r="C557" s="34">
        <f aca="true" t="shared" si="42" ref="C557:H557">C555+C556</f>
        <v>255</v>
      </c>
      <c r="D557" s="52">
        <f t="shared" si="42"/>
        <v>6.91</v>
      </c>
      <c r="E557" s="52">
        <f t="shared" si="42"/>
        <v>8.01</v>
      </c>
      <c r="F557" s="52">
        <f t="shared" si="42"/>
        <v>46.59</v>
      </c>
      <c r="G557" s="52">
        <f t="shared" si="42"/>
        <v>269.34</v>
      </c>
      <c r="H557" s="52">
        <f t="shared" si="42"/>
        <v>1.26</v>
      </c>
    </row>
    <row r="558" spans="1:8" ht="89.25" thickBot="1">
      <c r="A558" s="185" t="s">
        <v>144</v>
      </c>
      <c r="B558" s="186"/>
      <c r="C558" s="186"/>
      <c r="D558" s="186"/>
      <c r="E558" s="186"/>
      <c r="F558" s="186"/>
      <c r="G558" s="186"/>
      <c r="H558" s="187"/>
    </row>
    <row r="559" spans="1:8" ht="177.75" thickBot="1">
      <c r="A559" s="64">
        <v>49</v>
      </c>
      <c r="B559" s="65" t="s">
        <v>166</v>
      </c>
      <c r="C559" s="77" t="s">
        <v>247</v>
      </c>
      <c r="D559" s="67">
        <v>35.51</v>
      </c>
      <c r="E559" s="67">
        <v>23.1</v>
      </c>
      <c r="F559" s="67">
        <v>46.25</v>
      </c>
      <c r="G559" s="67">
        <v>555</v>
      </c>
      <c r="H559" s="67">
        <v>0.6</v>
      </c>
    </row>
    <row r="560" spans="1:12" ht="89.25" thickBot="1">
      <c r="A560" s="54">
        <v>13</v>
      </c>
      <c r="B560" s="50" t="s">
        <v>7</v>
      </c>
      <c r="C560" s="34">
        <v>200</v>
      </c>
      <c r="D560" s="52">
        <v>0</v>
      </c>
      <c r="E560" s="52">
        <v>0</v>
      </c>
      <c r="F560" s="52">
        <v>11.98</v>
      </c>
      <c r="G560" s="52">
        <v>45</v>
      </c>
      <c r="H560" s="52">
        <v>0</v>
      </c>
      <c r="J560" s="46"/>
      <c r="K560" s="46"/>
      <c r="L560" s="46"/>
    </row>
    <row r="561" spans="1:8" ht="177.75" thickBot="1">
      <c r="A561" s="47">
        <v>69</v>
      </c>
      <c r="B561" s="24" t="s">
        <v>106</v>
      </c>
      <c r="C561" s="51" t="s">
        <v>253</v>
      </c>
      <c r="D561" s="52">
        <v>0.34</v>
      </c>
      <c r="E561" s="52">
        <v>0.34</v>
      </c>
      <c r="F561" s="52">
        <v>8.33</v>
      </c>
      <c r="G561" s="52">
        <v>39.95</v>
      </c>
      <c r="H561" s="52">
        <v>8.5</v>
      </c>
    </row>
    <row r="562" spans="1:8" ht="89.25" thickBot="1">
      <c r="A562" s="47"/>
      <c r="B562" s="24" t="s">
        <v>6</v>
      </c>
      <c r="C562" s="34">
        <f aca="true" t="shared" si="43" ref="C562:H562">C559+C560+C561</f>
        <v>520</v>
      </c>
      <c r="D562" s="52">
        <f t="shared" si="43"/>
        <v>35.85</v>
      </c>
      <c r="E562" s="52">
        <f t="shared" si="43"/>
        <v>23.44</v>
      </c>
      <c r="F562" s="52">
        <f t="shared" si="43"/>
        <v>66.56</v>
      </c>
      <c r="G562" s="52">
        <f t="shared" si="43"/>
        <v>639.95</v>
      </c>
      <c r="H562" s="52">
        <f t="shared" si="43"/>
        <v>9.1</v>
      </c>
    </row>
    <row r="563" spans="1:8" ht="89.25" thickBot="1">
      <c r="A563" s="47"/>
      <c r="B563" s="24"/>
      <c r="C563" s="51"/>
      <c r="D563" s="40" t="s">
        <v>0</v>
      </c>
      <c r="E563" s="41" t="s">
        <v>1</v>
      </c>
      <c r="F563" s="41" t="s">
        <v>2</v>
      </c>
      <c r="G563" s="149" t="s">
        <v>3</v>
      </c>
      <c r="H563" s="41" t="s">
        <v>4</v>
      </c>
    </row>
    <row r="564" spans="1:8" ht="89.25" thickBot="1">
      <c r="A564" s="47"/>
      <c r="B564" s="58" t="s">
        <v>10</v>
      </c>
      <c r="C564" s="51"/>
      <c r="D564" s="52">
        <f>D542+D545+D553+D557+D562</f>
        <v>77.38</v>
      </c>
      <c r="E564" s="52">
        <f>E542+E545+E553+E557+E562</f>
        <v>69.94</v>
      </c>
      <c r="F564" s="52">
        <f>F542+F545+F553+F557+F562</f>
        <v>297.73</v>
      </c>
      <c r="G564" s="52">
        <f>G542+G545+G553+G557+G562</f>
        <v>2147.29</v>
      </c>
      <c r="H564" s="52">
        <f>H542+H545+H553+H557+H562</f>
        <v>33.43</v>
      </c>
    </row>
    <row r="565" spans="1:8" ht="89.25" thickBot="1">
      <c r="A565" s="47"/>
      <c r="B565" s="58" t="s">
        <v>11</v>
      </c>
      <c r="C565" s="51"/>
      <c r="D565" s="52">
        <v>54</v>
      </c>
      <c r="E565" s="52">
        <v>60</v>
      </c>
      <c r="F565" s="52">
        <v>261</v>
      </c>
      <c r="G565" s="52">
        <v>1800</v>
      </c>
      <c r="H565" s="52">
        <v>50</v>
      </c>
    </row>
    <row r="566" spans="1:8" ht="263.25" thickBot="1">
      <c r="A566" s="42"/>
      <c r="B566" s="59" t="s">
        <v>12</v>
      </c>
      <c r="C566" s="41"/>
      <c r="D566" s="60">
        <f>D564*100/D565</f>
        <v>143.2962962962963</v>
      </c>
      <c r="E566" s="60">
        <f>E564*100/E565</f>
        <v>116.56666666666666</v>
      </c>
      <c r="F566" s="60">
        <f>F564*100/F565</f>
        <v>114.0727969348659</v>
      </c>
      <c r="G566" s="60">
        <f>G564*100/G565</f>
        <v>119.29388888888889</v>
      </c>
      <c r="H566" s="60">
        <f>H564*100/H565</f>
        <v>66.86</v>
      </c>
    </row>
    <row r="567" spans="1:8" ht="88.5">
      <c r="A567" s="61"/>
      <c r="B567" s="147"/>
      <c r="C567" s="146"/>
      <c r="D567" s="62"/>
      <c r="E567" s="62"/>
      <c r="F567" s="62"/>
      <c r="G567" s="62"/>
      <c r="H567" s="62"/>
    </row>
    <row r="568" spans="1:8" ht="88.5">
      <c r="A568" s="61"/>
      <c r="B568" s="38" t="s">
        <v>68</v>
      </c>
      <c r="C568" s="38"/>
      <c r="E568" s="62"/>
      <c r="F568" s="62"/>
      <c r="G568" s="62"/>
      <c r="H568" s="62"/>
    </row>
    <row r="569" spans="1:2" ht="102">
      <c r="A569" s="61"/>
      <c r="B569" s="38" t="s">
        <v>271</v>
      </c>
    </row>
    <row r="570" spans="1:2" ht="88.5">
      <c r="A570" s="61"/>
      <c r="B570" s="38" t="s">
        <v>67</v>
      </c>
    </row>
    <row r="571" spans="1:2" ht="88.5">
      <c r="A571" s="61"/>
      <c r="B571" s="38" t="s">
        <v>151</v>
      </c>
    </row>
    <row r="573" spans="1:8" ht="88.5">
      <c r="A573" s="175" t="s">
        <v>197</v>
      </c>
      <c r="B573" s="175"/>
      <c r="C573" s="175"/>
      <c r="D573" s="175"/>
      <c r="E573" s="175"/>
      <c r="F573" s="175"/>
      <c r="G573" s="175"/>
      <c r="H573" s="175"/>
    </row>
    <row r="574" spans="1:8" ht="88.5">
      <c r="A574" s="175" t="s">
        <v>48</v>
      </c>
      <c r="B574" s="175"/>
      <c r="C574" s="175"/>
      <c r="D574" s="175"/>
      <c r="E574" s="175"/>
      <c r="F574" s="175"/>
      <c r="G574" s="175"/>
      <c r="H574" s="175"/>
    </row>
    <row r="575" spans="1:8" ht="88.5">
      <c r="A575" s="176" t="s">
        <v>49</v>
      </c>
      <c r="B575" s="176"/>
      <c r="C575" s="176"/>
      <c r="D575" s="176"/>
      <c r="E575" s="176"/>
      <c r="F575" s="176"/>
      <c r="G575" s="176"/>
      <c r="H575" s="176"/>
    </row>
    <row r="576" spans="1:8" ht="89.25" thickBot="1">
      <c r="A576" s="194"/>
      <c r="B576" s="194"/>
      <c r="C576" s="194"/>
      <c r="D576" s="194"/>
      <c r="E576" s="194"/>
      <c r="F576" s="194"/>
      <c r="G576" s="194"/>
      <c r="H576" s="194"/>
    </row>
    <row r="577" spans="1:8" ht="89.25" thickBot="1">
      <c r="A577" s="178" t="s">
        <v>30</v>
      </c>
      <c r="B577" s="180" t="s">
        <v>50</v>
      </c>
      <c r="C577" s="183" t="s">
        <v>111</v>
      </c>
      <c r="D577" s="172" t="s">
        <v>24</v>
      </c>
      <c r="E577" s="173"/>
      <c r="F577" s="174"/>
      <c r="G577" s="180" t="s">
        <v>51</v>
      </c>
      <c r="H577" s="180" t="s">
        <v>112</v>
      </c>
    </row>
    <row r="578" spans="1:8" ht="89.25" thickBot="1">
      <c r="A578" s="179"/>
      <c r="B578" s="181"/>
      <c r="C578" s="184"/>
      <c r="D578" s="40" t="s">
        <v>0</v>
      </c>
      <c r="E578" s="41" t="s">
        <v>1</v>
      </c>
      <c r="F578" s="41" t="s">
        <v>2</v>
      </c>
      <c r="G578" s="181"/>
      <c r="H578" s="181"/>
    </row>
    <row r="579" spans="1:8" ht="89.25" thickBot="1">
      <c r="A579" s="148">
        <v>1</v>
      </c>
      <c r="B579" s="43">
        <v>2</v>
      </c>
      <c r="C579" s="44">
        <v>3</v>
      </c>
      <c r="D579" s="63">
        <v>4</v>
      </c>
      <c r="E579" s="43">
        <v>5</v>
      </c>
      <c r="F579" s="43">
        <v>6</v>
      </c>
      <c r="G579" s="43">
        <v>7</v>
      </c>
      <c r="H579" s="43">
        <v>8</v>
      </c>
    </row>
    <row r="580" spans="1:8" ht="89.25" thickBot="1">
      <c r="A580" s="172" t="s">
        <v>5</v>
      </c>
      <c r="B580" s="173"/>
      <c r="C580" s="173"/>
      <c r="D580" s="173"/>
      <c r="E580" s="173"/>
      <c r="F580" s="173"/>
      <c r="G580" s="173"/>
      <c r="H580" s="174"/>
    </row>
    <row r="581" spans="1:8" ht="89.25" thickBot="1">
      <c r="A581" s="47">
        <v>1</v>
      </c>
      <c r="B581" s="26" t="s">
        <v>42</v>
      </c>
      <c r="C581" s="34">
        <v>180</v>
      </c>
      <c r="D581" s="52">
        <v>5.22</v>
      </c>
      <c r="E581" s="52">
        <v>6.65</v>
      </c>
      <c r="F581" s="52">
        <v>19.94</v>
      </c>
      <c r="G581" s="60">
        <v>161</v>
      </c>
      <c r="H581" s="60">
        <v>1.05</v>
      </c>
    </row>
    <row r="582" spans="1:8" ht="177.75" thickBot="1">
      <c r="A582" s="47">
        <v>2</v>
      </c>
      <c r="B582" s="24" t="s">
        <v>69</v>
      </c>
      <c r="C582" s="34">
        <v>200</v>
      </c>
      <c r="D582" s="48">
        <v>3.28</v>
      </c>
      <c r="E582" s="48">
        <v>3.44</v>
      </c>
      <c r="F582" s="48">
        <v>15.92</v>
      </c>
      <c r="G582" s="48">
        <v>105</v>
      </c>
      <c r="H582" s="48">
        <v>1.3</v>
      </c>
    </row>
    <row r="583" spans="1:8" ht="89.25" thickBot="1">
      <c r="A583" s="47">
        <v>16</v>
      </c>
      <c r="B583" s="24" t="s">
        <v>36</v>
      </c>
      <c r="C583" s="53" t="s">
        <v>155</v>
      </c>
      <c r="D583" s="52">
        <v>1.94</v>
      </c>
      <c r="E583" s="52">
        <v>3.77</v>
      </c>
      <c r="F583" s="52">
        <v>12.36</v>
      </c>
      <c r="G583" s="52">
        <v>91</v>
      </c>
      <c r="H583" s="52">
        <v>0</v>
      </c>
    </row>
    <row r="584" spans="1:8" ht="89.25" thickBot="1">
      <c r="A584" s="47"/>
      <c r="B584" s="24" t="s">
        <v>6</v>
      </c>
      <c r="C584" s="34">
        <f>C581+C582+C583</f>
        <v>410</v>
      </c>
      <c r="D584" s="52">
        <f>SUM(D581:D583)</f>
        <v>10.44</v>
      </c>
      <c r="E584" s="52">
        <f>SUM(E581:E583)</f>
        <v>13.86</v>
      </c>
      <c r="F584" s="52">
        <f>SUM(F581:F583)</f>
        <v>48.22</v>
      </c>
      <c r="G584" s="52">
        <f>SUM(G581:G583)</f>
        <v>357</v>
      </c>
      <c r="H584" s="52">
        <f>SUM(H581:H583)</f>
        <v>2.35</v>
      </c>
    </row>
    <row r="585" spans="1:8" ht="89.25" thickBot="1">
      <c r="A585" s="172" t="s">
        <v>53</v>
      </c>
      <c r="B585" s="173"/>
      <c r="C585" s="173"/>
      <c r="D585" s="173"/>
      <c r="E585" s="173"/>
      <c r="F585" s="173"/>
      <c r="G585" s="173"/>
      <c r="H585" s="174"/>
    </row>
    <row r="586" spans="1:12" s="46" customFormat="1" ht="89.25" thickBot="1">
      <c r="A586" s="47" t="s">
        <v>32</v>
      </c>
      <c r="B586" s="24" t="s">
        <v>182</v>
      </c>
      <c r="C586" s="53" t="s">
        <v>27</v>
      </c>
      <c r="D586" s="52">
        <v>0.3</v>
      </c>
      <c r="E586" s="52">
        <v>0.17</v>
      </c>
      <c r="F586" s="52">
        <v>15.17</v>
      </c>
      <c r="G586" s="52">
        <v>69</v>
      </c>
      <c r="H586" s="52">
        <v>3</v>
      </c>
      <c r="I586" s="38"/>
      <c r="J586" s="38"/>
      <c r="K586" s="38"/>
      <c r="L586" s="38"/>
    </row>
    <row r="587" spans="1:8" ht="89.25" thickBot="1">
      <c r="A587" s="47"/>
      <c r="B587" s="24" t="s">
        <v>6</v>
      </c>
      <c r="C587" s="51" t="s">
        <v>27</v>
      </c>
      <c r="D587" s="52">
        <f>SUM(D586)</f>
        <v>0.3</v>
      </c>
      <c r="E587" s="52">
        <f>SUM(E586)</f>
        <v>0.17</v>
      </c>
      <c r="F587" s="52">
        <f>SUM(F586)</f>
        <v>15.17</v>
      </c>
      <c r="G587" s="52">
        <f>SUM(G586)</f>
        <v>69</v>
      </c>
      <c r="H587" s="52">
        <f>SUM(H586)</f>
        <v>3</v>
      </c>
    </row>
    <row r="588" spans="1:8" ht="89.25" thickBot="1">
      <c r="A588" s="185" t="s">
        <v>31</v>
      </c>
      <c r="B588" s="186"/>
      <c r="C588" s="186"/>
      <c r="D588" s="186"/>
      <c r="E588" s="186"/>
      <c r="F588" s="186"/>
      <c r="G588" s="186"/>
      <c r="H588" s="187"/>
    </row>
    <row r="589" spans="1:8" ht="89.25" thickBot="1">
      <c r="A589" s="54">
        <v>56</v>
      </c>
      <c r="B589" s="24" t="s">
        <v>228</v>
      </c>
      <c r="C589" s="53" t="s">
        <v>34</v>
      </c>
      <c r="D589" s="52">
        <v>1.05</v>
      </c>
      <c r="E589" s="52">
        <v>4.84</v>
      </c>
      <c r="F589" s="52">
        <v>6.05</v>
      </c>
      <c r="G589" s="52">
        <v>73.33</v>
      </c>
      <c r="H589" s="52">
        <v>6.4</v>
      </c>
    </row>
    <row r="590" spans="1:8" ht="177.75" thickBot="1">
      <c r="A590" s="47">
        <v>92</v>
      </c>
      <c r="B590" s="24" t="s">
        <v>238</v>
      </c>
      <c r="C590" s="51" t="s">
        <v>25</v>
      </c>
      <c r="D590" s="52">
        <v>10.15</v>
      </c>
      <c r="E590" s="52">
        <v>6.87</v>
      </c>
      <c r="F590" s="52">
        <v>14.93</v>
      </c>
      <c r="G590" s="52">
        <v>180</v>
      </c>
      <c r="H590" s="52">
        <v>10.65</v>
      </c>
    </row>
    <row r="591" spans="1:8" ht="89.25" thickBot="1">
      <c r="A591" s="47">
        <v>63</v>
      </c>
      <c r="B591" s="24" t="s">
        <v>147</v>
      </c>
      <c r="C591" s="34">
        <v>150</v>
      </c>
      <c r="D591" s="52">
        <v>12</v>
      </c>
      <c r="E591" s="52">
        <v>4.71</v>
      </c>
      <c r="F591" s="52">
        <v>30.75</v>
      </c>
      <c r="G591" s="52">
        <v>238.5</v>
      </c>
      <c r="H591" s="52">
        <v>0</v>
      </c>
    </row>
    <row r="592" spans="1:8" ht="177.75" thickBot="1">
      <c r="A592" s="64">
        <v>6</v>
      </c>
      <c r="B592" s="65" t="s">
        <v>74</v>
      </c>
      <c r="C592" s="34">
        <v>60</v>
      </c>
      <c r="D592" s="52">
        <v>8.44</v>
      </c>
      <c r="E592" s="52">
        <v>6.88</v>
      </c>
      <c r="F592" s="52">
        <v>6.13</v>
      </c>
      <c r="G592" s="52">
        <v>119.98</v>
      </c>
      <c r="H592" s="52">
        <v>0.7</v>
      </c>
    </row>
    <row r="593" spans="1:8" ht="89.25" thickBot="1">
      <c r="A593" s="47">
        <v>9</v>
      </c>
      <c r="B593" s="24" t="s">
        <v>43</v>
      </c>
      <c r="C593" s="34">
        <v>200</v>
      </c>
      <c r="D593" s="52">
        <v>0.4</v>
      </c>
      <c r="E593" s="52">
        <v>0</v>
      </c>
      <c r="F593" s="52">
        <v>21</v>
      </c>
      <c r="G593" s="52">
        <v>88</v>
      </c>
      <c r="H593" s="52">
        <v>0.36</v>
      </c>
    </row>
    <row r="594" spans="1:8" ht="177.75" thickBot="1">
      <c r="A594" s="47" t="s">
        <v>32</v>
      </c>
      <c r="B594" s="24" t="s">
        <v>56</v>
      </c>
      <c r="C594" s="34">
        <v>25</v>
      </c>
      <c r="D594" s="52">
        <v>2</v>
      </c>
      <c r="E594" s="52">
        <v>0.25</v>
      </c>
      <c r="F594" s="52">
        <v>12.05</v>
      </c>
      <c r="G594" s="52">
        <v>59</v>
      </c>
      <c r="H594" s="52">
        <v>0</v>
      </c>
    </row>
    <row r="595" spans="1:8" ht="177.75" thickBot="1">
      <c r="A595" s="47" t="s">
        <v>32</v>
      </c>
      <c r="B595" s="24" t="s">
        <v>58</v>
      </c>
      <c r="C595" s="34">
        <v>50</v>
      </c>
      <c r="D595" s="52">
        <v>2.8</v>
      </c>
      <c r="E595" s="52">
        <v>0.6</v>
      </c>
      <c r="F595" s="52">
        <v>24.7</v>
      </c>
      <c r="G595" s="52">
        <v>116</v>
      </c>
      <c r="H595" s="52">
        <v>0</v>
      </c>
    </row>
    <row r="596" spans="1:8" ht="89.25" thickBot="1">
      <c r="A596" s="47"/>
      <c r="B596" s="24" t="s">
        <v>6</v>
      </c>
      <c r="C596" s="34">
        <f aca="true" t="shared" si="44" ref="C596:H596">C589+C590+C591+C592+C593+C594+C595</f>
        <v>745</v>
      </c>
      <c r="D596" s="52">
        <f t="shared" si="44"/>
        <v>36.839999999999996</v>
      </c>
      <c r="E596" s="52">
        <f t="shared" si="44"/>
        <v>24.150000000000002</v>
      </c>
      <c r="F596" s="52">
        <f t="shared" si="44"/>
        <v>115.61000000000001</v>
      </c>
      <c r="G596" s="52">
        <f t="shared" si="44"/>
        <v>874.81</v>
      </c>
      <c r="H596" s="52">
        <f t="shared" si="44"/>
        <v>18.11</v>
      </c>
    </row>
    <row r="597" spans="1:8" ht="89.25" thickBot="1">
      <c r="A597" s="172" t="s">
        <v>145</v>
      </c>
      <c r="B597" s="173"/>
      <c r="C597" s="173"/>
      <c r="D597" s="173"/>
      <c r="E597" s="173"/>
      <c r="F597" s="173"/>
      <c r="G597" s="173"/>
      <c r="H597" s="174"/>
    </row>
    <row r="598" spans="1:8" ht="266.25" thickBot="1">
      <c r="A598" s="55">
        <v>21.1</v>
      </c>
      <c r="B598" s="56" t="s">
        <v>172</v>
      </c>
      <c r="C598" s="51" t="s">
        <v>115</v>
      </c>
      <c r="D598" s="48">
        <v>5.22</v>
      </c>
      <c r="E598" s="48">
        <v>5.76</v>
      </c>
      <c r="F598" s="48">
        <v>7.2</v>
      </c>
      <c r="G598" s="48">
        <v>106.2</v>
      </c>
      <c r="H598" s="48">
        <v>1.26</v>
      </c>
    </row>
    <row r="599" spans="1:8" ht="354.75" thickBot="1">
      <c r="A599" s="64">
        <v>72</v>
      </c>
      <c r="B599" s="65" t="s">
        <v>167</v>
      </c>
      <c r="C599" s="73" t="s">
        <v>59</v>
      </c>
      <c r="D599" s="67">
        <v>5.52</v>
      </c>
      <c r="E599" s="67">
        <v>4.05</v>
      </c>
      <c r="F599" s="67">
        <v>38.04</v>
      </c>
      <c r="G599" s="67">
        <v>226</v>
      </c>
      <c r="H599" s="67">
        <v>0.26</v>
      </c>
    </row>
    <row r="600" spans="1:8" ht="89.25" thickBot="1">
      <c r="A600" s="54"/>
      <c r="B600" s="24" t="s">
        <v>29</v>
      </c>
      <c r="C600" s="34">
        <f aca="true" t="shared" si="45" ref="C600:H600">C598+C599</f>
        <v>250</v>
      </c>
      <c r="D600" s="52">
        <f t="shared" si="45"/>
        <v>10.739999999999998</v>
      </c>
      <c r="E600" s="52">
        <f t="shared" si="45"/>
        <v>9.809999999999999</v>
      </c>
      <c r="F600" s="52">
        <f t="shared" si="45"/>
        <v>45.24</v>
      </c>
      <c r="G600" s="52">
        <f t="shared" si="45"/>
        <v>332.2</v>
      </c>
      <c r="H600" s="52">
        <f t="shared" si="45"/>
        <v>1.52</v>
      </c>
    </row>
    <row r="601" spans="1:8" ht="89.25" thickBot="1">
      <c r="A601" s="185" t="s">
        <v>144</v>
      </c>
      <c r="B601" s="186"/>
      <c r="C601" s="186"/>
      <c r="D601" s="186"/>
      <c r="E601" s="186"/>
      <c r="F601" s="186"/>
      <c r="G601" s="186"/>
      <c r="H601" s="187"/>
    </row>
    <row r="602" spans="1:8" ht="177.75" thickBot="1">
      <c r="A602" s="54">
        <v>71</v>
      </c>
      <c r="B602" s="26" t="s">
        <v>261</v>
      </c>
      <c r="C602" s="34">
        <v>120</v>
      </c>
      <c r="D602" s="48">
        <v>13.15</v>
      </c>
      <c r="E602" s="48">
        <v>2.82</v>
      </c>
      <c r="F602" s="48">
        <v>4.23</v>
      </c>
      <c r="G602" s="48">
        <v>94</v>
      </c>
      <c r="H602" s="48">
        <v>1.51</v>
      </c>
    </row>
    <row r="603" spans="1:8" ht="89.25" thickBot="1">
      <c r="A603" s="54">
        <v>79</v>
      </c>
      <c r="B603" s="24" t="s">
        <v>262</v>
      </c>
      <c r="C603" s="34">
        <v>130</v>
      </c>
      <c r="D603" s="52">
        <v>2.5</v>
      </c>
      <c r="E603" s="52">
        <v>5.77</v>
      </c>
      <c r="F603" s="52">
        <v>17.47</v>
      </c>
      <c r="G603" s="52">
        <v>131.71</v>
      </c>
      <c r="H603" s="52">
        <v>10.4</v>
      </c>
    </row>
    <row r="604" spans="1:8" ht="177.75" thickBot="1">
      <c r="A604" s="47" t="s">
        <v>32</v>
      </c>
      <c r="B604" s="24" t="s">
        <v>56</v>
      </c>
      <c r="C604" s="34">
        <v>25</v>
      </c>
      <c r="D604" s="52">
        <v>2</v>
      </c>
      <c r="E604" s="52">
        <v>0.25</v>
      </c>
      <c r="F604" s="52">
        <v>12.05</v>
      </c>
      <c r="G604" s="52">
        <v>59</v>
      </c>
      <c r="H604" s="52">
        <v>0</v>
      </c>
    </row>
    <row r="605" spans="1:8" ht="89.25" thickBot="1">
      <c r="A605" s="49">
        <v>31</v>
      </c>
      <c r="B605" s="50" t="s">
        <v>9</v>
      </c>
      <c r="C605" s="34">
        <v>200</v>
      </c>
      <c r="D605" s="48">
        <v>0.04</v>
      </c>
      <c r="E605" s="48">
        <v>0</v>
      </c>
      <c r="F605" s="48">
        <v>12.13</v>
      </c>
      <c r="G605" s="48">
        <v>47</v>
      </c>
      <c r="H605" s="48">
        <v>2</v>
      </c>
    </row>
    <row r="606" spans="1:8" ht="177.75" thickBot="1">
      <c r="A606" s="47">
        <v>69</v>
      </c>
      <c r="B606" s="24" t="s">
        <v>106</v>
      </c>
      <c r="C606" s="51" t="s">
        <v>253</v>
      </c>
      <c r="D606" s="52">
        <v>0.34</v>
      </c>
      <c r="E606" s="52">
        <v>0.34</v>
      </c>
      <c r="F606" s="52">
        <v>8.33</v>
      </c>
      <c r="G606" s="52">
        <v>39.95</v>
      </c>
      <c r="H606" s="52">
        <v>8.5</v>
      </c>
    </row>
    <row r="607" spans="1:9" ht="89.25" thickBot="1">
      <c r="A607" s="47"/>
      <c r="B607" s="24" t="s">
        <v>6</v>
      </c>
      <c r="C607" s="34">
        <f aca="true" t="shared" si="46" ref="C607:H607">C602+C603+C604+C605+C606</f>
        <v>560</v>
      </c>
      <c r="D607" s="52">
        <f t="shared" si="46"/>
        <v>18.029999999999998</v>
      </c>
      <c r="E607" s="52">
        <f t="shared" si="46"/>
        <v>9.18</v>
      </c>
      <c r="F607" s="52">
        <f t="shared" si="46"/>
        <v>54.21</v>
      </c>
      <c r="G607" s="52">
        <f t="shared" si="46"/>
        <v>371.66</v>
      </c>
      <c r="H607" s="52">
        <f t="shared" si="46"/>
        <v>22.41</v>
      </c>
      <c r="I607" s="52"/>
    </row>
    <row r="608" spans="1:8" ht="89.25" thickBot="1">
      <c r="A608" s="47"/>
      <c r="B608" s="24"/>
      <c r="C608" s="51"/>
      <c r="D608" s="40" t="s">
        <v>0</v>
      </c>
      <c r="E608" s="41" t="s">
        <v>1</v>
      </c>
      <c r="F608" s="41" t="s">
        <v>2</v>
      </c>
      <c r="G608" s="149" t="s">
        <v>3</v>
      </c>
      <c r="H608" s="41" t="s">
        <v>4</v>
      </c>
    </row>
    <row r="609" spans="1:8" ht="89.25" thickBot="1">
      <c r="A609" s="47"/>
      <c r="B609" s="58" t="s">
        <v>10</v>
      </c>
      <c r="C609" s="51"/>
      <c r="D609" s="52">
        <f>D584+D587+D596+D600+D607</f>
        <v>76.35</v>
      </c>
      <c r="E609" s="52">
        <f>E584+E587+E596+E600+E607</f>
        <v>57.169999999999995</v>
      </c>
      <c r="F609" s="52">
        <f>F584+F587+F596+F600+F607</f>
        <v>278.45</v>
      </c>
      <c r="G609" s="52">
        <f>G584+G587+G596+G600+G607</f>
        <v>2004.67</v>
      </c>
      <c r="H609" s="52">
        <f>H584+H587+H596+H600+H607</f>
        <v>47.39</v>
      </c>
    </row>
    <row r="610" spans="1:8" ht="89.25" thickBot="1">
      <c r="A610" s="47"/>
      <c r="B610" s="58" t="s">
        <v>11</v>
      </c>
      <c r="C610" s="51"/>
      <c r="D610" s="52">
        <v>54</v>
      </c>
      <c r="E610" s="52">
        <v>60</v>
      </c>
      <c r="F610" s="52">
        <v>261</v>
      </c>
      <c r="G610" s="52">
        <v>1800</v>
      </c>
      <c r="H610" s="52">
        <v>50</v>
      </c>
    </row>
    <row r="611" spans="1:8" ht="263.25" thickBot="1">
      <c r="A611" s="42"/>
      <c r="B611" s="59" t="s">
        <v>12</v>
      </c>
      <c r="C611" s="41"/>
      <c r="D611" s="60">
        <f>D609*100/D610</f>
        <v>141.38888888888889</v>
      </c>
      <c r="E611" s="60">
        <f>E609*100/E610</f>
        <v>95.28333333333332</v>
      </c>
      <c r="F611" s="60">
        <f>F609*100/F610</f>
        <v>106.68582375478927</v>
      </c>
      <c r="G611" s="60">
        <f>G609*100/G610</f>
        <v>111.37055555555555</v>
      </c>
      <c r="H611" s="60">
        <f>H609*100/H610</f>
        <v>94.78</v>
      </c>
    </row>
    <row r="612" spans="1:8" ht="88.5">
      <c r="A612" s="61"/>
      <c r="B612" s="147"/>
      <c r="C612" s="146"/>
      <c r="D612" s="62"/>
      <c r="E612" s="62"/>
      <c r="F612" s="62"/>
      <c r="G612" s="62"/>
      <c r="H612" s="62"/>
    </row>
    <row r="613" spans="1:8" ht="88.5">
      <c r="A613" s="61"/>
      <c r="B613" s="38" t="s">
        <v>68</v>
      </c>
      <c r="C613" s="38"/>
      <c r="E613" s="62"/>
      <c r="F613" s="62"/>
      <c r="G613" s="62"/>
      <c r="H613" s="62"/>
    </row>
    <row r="614" spans="1:2" ht="102">
      <c r="A614" s="61"/>
      <c r="B614" s="38" t="s">
        <v>271</v>
      </c>
    </row>
    <row r="615" spans="1:2" ht="88.5">
      <c r="A615" s="61"/>
      <c r="B615" s="38" t="s">
        <v>67</v>
      </c>
    </row>
    <row r="616" spans="1:2" ht="88.5">
      <c r="A616" s="61"/>
      <c r="B616" s="38" t="s">
        <v>151</v>
      </c>
    </row>
    <row r="617" spans="1:8" ht="88.5">
      <c r="A617" s="175" t="s">
        <v>201</v>
      </c>
      <c r="B617" s="175"/>
      <c r="C617" s="175"/>
      <c r="D617" s="175"/>
      <c r="E617" s="175"/>
      <c r="F617" s="175"/>
      <c r="G617" s="175"/>
      <c r="H617" s="175"/>
    </row>
    <row r="618" spans="1:8" ht="88.5">
      <c r="A618" s="175" t="s">
        <v>48</v>
      </c>
      <c r="B618" s="175"/>
      <c r="C618" s="175"/>
      <c r="D618" s="175"/>
      <c r="E618" s="175"/>
      <c r="F618" s="175"/>
      <c r="G618" s="175"/>
      <c r="H618" s="175"/>
    </row>
    <row r="619" spans="1:8" ht="88.5">
      <c r="A619" s="176" t="s">
        <v>49</v>
      </c>
      <c r="B619" s="176"/>
      <c r="C619" s="176"/>
      <c r="D619" s="176"/>
      <c r="E619" s="176"/>
      <c r="F619" s="176"/>
      <c r="G619" s="176"/>
      <c r="H619" s="176"/>
    </row>
    <row r="620" spans="1:8" ht="89.25" thickBot="1">
      <c r="A620" s="177"/>
      <c r="B620" s="177"/>
      <c r="C620" s="177"/>
      <c r="D620" s="177"/>
      <c r="E620" s="177"/>
      <c r="F620" s="177"/>
      <c r="G620" s="177"/>
      <c r="H620" s="177"/>
    </row>
    <row r="621" spans="1:8" ht="89.25" thickBot="1">
      <c r="A621" s="178" t="s">
        <v>30</v>
      </c>
      <c r="B621" s="180" t="s">
        <v>50</v>
      </c>
      <c r="C621" s="183" t="s">
        <v>111</v>
      </c>
      <c r="D621" s="172" t="s">
        <v>24</v>
      </c>
      <c r="E621" s="173"/>
      <c r="F621" s="174"/>
      <c r="G621" s="180" t="s">
        <v>51</v>
      </c>
      <c r="H621" s="180" t="s">
        <v>112</v>
      </c>
    </row>
    <row r="622" spans="1:8" ht="89.25" thickBot="1">
      <c r="A622" s="179"/>
      <c r="B622" s="181"/>
      <c r="C622" s="184"/>
      <c r="D622" s="40" t="s">
        <v>0</v>
      </c>
      <c r="E622" s="41" t="s">
        <v>1</v>
      </c>
      <c r="F622" s="41" t="s">
        <v>2</v>
      </c>
      <c r="G622" s="181"/>
      <c r="H622" s="181"/>
    </row>
    <row r="623" spans="1:8" ht="89.25" thickBot="1">
      <c r="A623" s="148">
        <v>1</v>
      </c>
      <c r="B623" s="43">
        <v>2</v>
      </c>
      <c r="C623" s="44">
        <v>3</v>
      </c>
      <c r="D623" s="63">
        <v>4</v>
      </c>
      <c r="E623" s="43">
        <v>5</v>
      </c>
      <c r="F623" s="43">
        <v>6</v>
      </c>
      <c r="G623" s="43">
        <v>7</v>
      </c>
      <c r="H623" s="43">
        <v>8</v>
      </c>
    </row>
    <row r="624" spans="1:8" ht="89.25" thickBot="1">
      <c r="A624" s="172" t="s">
        <v>5</v>
      </c>
      <c r="B624" s="173"/>
      <c r="C624" s="173"/>
      <c r="D624" s="173"/>
      <c r="E624" s="173"/>
      <c r="F624" s="173"/>
      <c r="G624" s="173"/>
      <c r="H624" s="174"/>
    </row>
    <row r="625" spans="1:8" ht="266.25" thickBot="1">
      <c r="A625" s="54">
        <v>84</v>
      </c>
      <c r="B625" s="26" t="s">
        <v>204</v>
      </c>
      <c r="C625" s="34">
        <v>180</v>
      </c>
      <c r="D625" s="48">
        <v>5.38</v>
      </c>
      <c r="E625" s="48">
        <v>6.9</v>
      </c>
      <c r="F625" s="48">
        <v>22.3</v>
      </c>
      <c r="G625" s="48">
        <v>173</v>
      </c>
      <c r="H625" s="48">
        <v>1.77</v>
      </c>
    </row>
    <row r="626" spans="1:8" ht="89.25" thickBot="1">
      <c r="A626" s="54">
        <v>15</v>
      </c>
      <c r="B626" s="50" t="s">
        <v>224</v>
      </c>
      <c r="C626" s="34">
        <v>200</v>
      </c>
      <c r="D626" s="52">
        <v>3.12</v>
      </c>
      <c r="E626" s="52">
        <v>3.39</v>
      </c>
      <c r="F626" s="52">
        <v>15.81</v>
      </c>
      <c r="G626" s="52">
        <v>106</v>
      </c>
      <c r="H626" s="52">
        <v>1.3</v>
      </c>
    </row>
    <row r="627" spans="1:8" ht="177.75" thickBot="1">
      <c r="A627" s="47">
        <v>3</v>
      </c>
      <c r="B627" s="24" t="s">
        <v>38</v>
      </c>
      <c r="C627" s="51" t="s">
        <v>260</v>
      </c>
      <c r="D627" s="52">
        <v>4.72</v>
      </c>
      <c r="E627" s="52">
        <v>7.31</v>
      </c>
      <c r="F627" s="52">
        <v>12.36</v>
      </c>
      <c r="G627" s="52">
        <v>135</v>
      </c>
      <c r="H627" s="52">
        <v>0.08</v>
      </c>
    </row>
    <row r="628" spans="1:8" ht="89.25" thickBot="1">
      <c r="A628" s="47"/>
      <c r="B628" s="24" t="s">
        <v>6</v>
      </c>
      <c r="C628" s="34">
        <f>C625+C626+C627</f>
        <v>422</v>
      </c>
      <c r="D628" s="52">
        <f>SUM(D625:D627)</f>
        <v>13.219999999999999</v>
      </c>
      <c r="E628" s="52">
        <f>SUM(E625:E627)</f>
        <v>17.6</v>
      </c>
      <c r="F628" s="52">
        <f>SUM(F625:F627)</f>
        <v>50.47</v>
      </c>
      <c r="G628" s="52">
        <f>SUM(G625:G627)</f>
        <v>414</v>
      </c>
      <c r="H628" s="52">
        <f>SUM(H625:H627)</f>
        <v>3.1500000000000004</v>
      </c>
    </row>
    <row r="629" spans="1:8" ht="89.25" thickBot="1">
      <c r="A629" s="172" t="s">
        <v>53</v>
      </c>
      <c r="B629" s="173"/>
      <c r="C629" s="173"/>
      <c r="D629" s="173"/>
      <c r="E629" s="173"/>
      <c r="F629" s="173"/>
      <c r="G629" s="173"/>
      <c r="H629" s="174"/>
    </row>
    <row r="630" spans="1:8" ht="89.25" thickBot="1">
      <c r="A630" s="47" t="s">
        <v>32</v>
      </c>
      <c r="B630" s="24" t="s">
        <v>182</v>
      </c>
      <c r="C630" s="53" t="s">
        <v>27</v>
      </c>
      <c r="D630" s="52">
        <v>0.3</v>
      </c>
      <c r="E630" s="52">
        <v>0.17</v>
      </c>
      <c r="F630" s="52">
        <v>15.17</v>
      </c>
      <c r="G630" s="52">
        <v>69</v>
      </c>
      <c r="H630" s="52">
        <v>3</v>
      </c>
    </row>
    <row r="631" spans="1:8" ht="89.25" thickBot="1">
      <c r="A631" s="47"/>
      <c r="B631" s="24" t="s">
        <v>6</v>
      </c>
      <c r="C631" s="51" t="s">
        <v>27</v>
      </c>
      <c r="D631" s="52">
        <f>SUM(D630)</f>
        <v>0.3</v>
      </c>
      <c r="E631" s="52">
        <f>SUM(E630)</f>
        <v>0.17</v>
      </c>
      <c r="F631" s="52">
        <f>SUM(F630)</f>
        <v>15.17</v>
      </c>
      <c r="G631" s="52">
        <f>SUM(G630)</f>
        <v>69</v>
      </c>
      <c r="H631" s="52">
        <f>SUM(H630)</f>
        <v>3</v>
      </c>
    </row>
    <row r="632" spans="1:8" ht="89.25" thickBot="1">
      <c r="A632" s="185" t="s">
        <v>31</v>
      </c>
      <c r="B632" s="186"/>
      <c r="C632" s="186"/>
      <c r="D632" s="186"/>
      <c r="E632" s="186"/>
      <c r="F632" s="186"/>
      <c r="G632" s="186"/>
      <c r="H632" s="187"/>
    </row>
    <row r="633" spans="1:8" ht="89.25" thickBot="1">
      <c r="A633" s="54">
        <v>51</v>
      </c>
      <c r="B633" s="24" t="s">
        <v>226</v>
      </c>
      <c r="C633" s="53" t="s">
        <v>34</v>
      </c>
      <c r="D633" s="52">
        <v>0.93</v>
      </c>
      <c r="E633" s="52">
        <v>4.88</v>
      </c>
      <c r="F633" s="52">
        <v>5.53</v>
      </c>
      <c r="G633" s="52">
        <v>70</v>
      </c>
      <c r="H633" s="52">
        <v>2.2</v>
      </c>
    </row>
    <row r="634" spans="1:8" ht="266.25" thickBot="1">
      <c r="A634" s="47">
        <v>57</v>
      </c>
      <c r="B634" s="24" t="s">
        <v>236</v>
      </c>
      <c r="C634" s="53" t="s">
        <v>25</v>
      </c>
      <c r="D634" s="52">
        <v>4.12</v>
      </c>
      <c r="E634" s="52">
        <v>5.63</v>
      </c>
      <c r="F634" s="52">
        <v>15.13</v>
      </c>
      <c r="G634" s="52">
        <v>139.6</v>
      </c>
      <c r="H634" s="52">
        <v>4.24</v>
      </c>
    </row>
    <row r="635" spans="1:8" ht="177.75" thickBot="1">
      <c r="A635" s="47">
        <v>81</v>
      </c>
      <c r="B635" s="24" t="s">
        <v>209</v>
      </c>
      <c r="C635" s="34">
        <v>220</v>
      </c>
      <c r="D635" s="52">
        <v>3.36</v>
      </c>
      <c r="E635" s="52">
        <v>7.06</v>
      </c>
      <c r="F635" s="52">
        <v>13.73</v>
      </c>
      <c r="G635" s="52">
        <v>139.92</v>
      </c>
      <c r="H635" s="52">
        <v>17.88</v>
      </c>
    </row>
    <row r="636" spans="1:8" ht="177.75" thickBot="1">
      <c r="A636" s="54">
        <v>54</v>
      </c>
      <c r="B636" s="50" t="s">
        <v>153</v>
      </c>
      <c r="C636" s="53" t="s">
        <v>25</v>
      </c>
      <c r="D636" s="52">
        <v>0.16</v>
      </c>
      <c r="E636" s="52">
        <v>0.16</v>
      </c>
      <c r="F636" s="52">
        <v>16.89</v>
      </c>
      <c r="G636" s="52">
        <v>71</v>
      </c>
      <c r="H636" s="52">
        <v>4</v>
      </c>
    </row>
    <row r="637" spans="1:8" ht="177.75" thickBot="1">
      <c r="A637" s="47" t="s">
        <v>32</v>
      </c>
      <c r="B637" s="24" t="s">
        <v>56</v>
      </c>
      <c r="C637" s="34">
        <v>25</v>
      </c>
      <c r="D637" s="52">
        <v>2</v>
      </c>
      <c r="E637" s="52">
        <v>0.25</v>
      </c>
      <c r="F637" s="52">
        <v>12.05</v>
      </c>
      <c r="G637" s="52">
        <v>59</v>
      </c>
      <c r="H637" s="52">
        <v>0</v>
      </c>
    </row>
    <row r="638" spans="1:8" ht="177.75" thickBot="1">
      <c r="A638" s="47" t="s">
        <v>32</v>
      </c>
      <c r="B638" s="24" t="s">
        <v>58</v>
      </c>
      <c r="C638" s="34">
        <v>50</v>
      </c>
      <c r="D638" s="52">
        <v>2.8</v>
      </c>
      <c r="E638" s="52">
        <v>0.6</v>
      </c>
      <c r="F638" s="52">
        <v>24.7</v>
      </c>
      <c r="G638" s="52">
        <v>116</v>
      </c>
      <c r="H638" s="52">
        <v>0</v>
      </c>
    </row>
    <row r="639" spans="1:8" ht="89.25" thickBot="1">
      <c r="A639" s="47"/>
      <c r="B639" s="24" t="s">
        <v>29</v>
      </c>
      <c r="C639" s="34">
        <f aca="true" t="shared" si="47" ref="C639:H639">C633+C634+C635+C636+C637+C638</f>
        <v>755</v>
      </c>
      <c r="D639" s="52">
        <f t="shared" si="47"/>
        <v>13.370000000000001</v>
      </c>
      <c r="E639" s="52">
        <f t="shared" si="47"/>
        <v>18.580000000000002</v>
      </c>
      <c r="F639" s="52">
        <f t="shared" si="47"/>
        <v>88.03</v>
      </c>
      <c r="G639" s="52">
        <f t="shared" si="47"/>
        <v>595.52</v>
      </c>
      <c r="H639" s="52">
        <f t="shared" si="47"/>
        <v>28.32</v>
      </c>
    </row>
    <row r="640" spans="1:8" ht="89.25" thickBot="1">
      <c r="A640" s="172" t="s">
        <v>145</v>
      </c>
      <c r="B640" s="173"/>
      <c r="C640" s="173"/>
      <c r="D640" s="173"/>
      <c r="E640" s="173"/>
      <c r="F640" s="173"/>
      <c r="G640" s="173"/>
      <c r="H640" s="174"/>
    </row>
    <row r="641" spans="1:8" ht="266.25" thickBot="1">
      <c r="A641" s="55">
        <v>21.1</v>
      </c>
      <c r="B641" s="56" t="s">
        <v>172</v>
      </c>
      <c r="C641" s="51" t="s">
        <v>115</v>
      </c>
      <c r="D641" s="48">
        <v>5.22</v>
      </c>
      <c r="E641" s="48">
        <v>5.76</v>
      </c>
      <c r="F641" s="48">
        <v>7.2</v>
      </c>
      <c r="G641" s="48">
        <v>106.2</v>
      </c>
      <c r="H641" s="48">
        <v>1.26</v>
      </c>
    </row>
    <row r="642" spans="1:8" ht="89.25" thickBot="1">
      <c r="A642" s="54">
        <v>74</v>
      </c>
      <c r="B642" s="24" t="s">
        <v>221</v>
      </c>
      <c r="C642" s="51" t="s">
        <v>26</v>
      </c>
      <c r="D642" s="52">
        <v>12.75</v>
      </c>
      <c r="E642" s="52">
        <v>15.38</v>
      </c>
      <c r="F642" s="52">
        <v>24.55</v>
      </c>
      <c r="G642" s="52">
        <v>297.5</v>
      </c>
      <c r="H642" s="52">
        <v>0.45</v>
      </c>
    </row>
    <row r="643" spans="1:8" ht="89.25" thickBot="1">
      <c r="A643" s="54"/>
      <c r="B643" s="24" t="s">
        <v>29</v>
      </c>
      <c r="C643" s="34">
        <f aca="true" t="shared" si="48" ref="C643:H643">C641+C642</f>
        <v>280</v>
      </c>
      <c r="D643" s="52">
        <f t="shared" si="48"/>
        <v>17.97</v>
      </c>
      <c r="E643" s="52">
        <f t="shared" si="48"/>
        <v>21.14</v>
      </c>
      <c r="F643" s="52">
        <f t="shared" si="48"/>
        <v>31.75</v>
      </c>
      <c r="G643" s="52">
        <f t="shared" si="48"/>
        <v>403.7</v>
      </c>
      <c r="H643" s="52">
        <f t="shared" si="48"/>
        <v>1.71</v>
      </c>
    </row>
    <row r="644" spans="1:8" ht="89.25" thickBot="1">
      <c r="A644" s="185" t="s">
        <v>144</v>
      </c>
      <c r="B644" s="186"/>
      <c r="C644" s="186"/>
      <c r="D644" s="186"/>
      <c r="E644" s="186"/>
      <c r="F644" s="186"/>
      <c r="G644" s="186"/>
      <c r="H644" s="187"/>
    </row>
    <row r="645" spans="1:8" ht="177.75" thickBot="1">
      <c r="A645" s="47">
        <v>53</v>
      </c>
      <c r="B645" s="24" t="s">
        <v>174</v>
      </c>
      <c r="C645" s="34">
        <v>200</v>
      </c>
      <c r="D645" s="52">
        <v>5.4</v>
      </c>
      <c r="E645" s="52">
        <v>6.91</v>
      </c>
      <c r="F645" s="52">
        <v>10.21</v>
      </c>
      <c r="G645" s="52">
        <v>119</v>
      </c>
      <c r="H645" s="52">
        <v>4.8</v>
      </c>
    </row>
    <row r="646" spans="1:8" ht="89.25" thickBot="1">
      <c r="A646" s="54">
        <v>13</v>
      </c>
      <c r="B646" s="50" t="s">
        <v>7</v>
      </c>
      <c r="C646" s="34">
        <v>200</v>
      </c>
      <c r="D646" s="52">
        <v>0</v>
      </c>
      <c r="E646" s="52">
        <v>0</v>
      </c>
      <c r="F646" s="52">
        <v>11.98</v>
      </c>
      <c r="G646" s="52">
        <v>45</v>
      </c>
      <c r="H646" s="52">
        <v>0</v>
      </c>
    </row>
    <row r="647" spans="1:8" ht="177.75" thickBot="1">
      <c r="A647" s="47">
        <v>69</v>
      </c>
      <c r="B647" s="24" t="s">
        <v>106</v>
      </c>
      <c r="C647" s="51" t="s">
        <v>253</v>
      </c>
      <c r="D647" s="52">
        <v>0.34</v>
      </c>
      <c r="E647" s="52">
        <v>0.34</v>
      </c>
      <c r="F647" s="52">
        <v>8.33</v>
      </c>
      <c r="G647" s="52">
        <v>39.95</v>
      </c>
      <c r="H647" s="52">
        <v>8.5</v>
      </c>
    </row>
    <row r="648" spans="1:8" ht="177.75" thickBot="1">
      <c r="A648" s="47" t="s">
        <v>32</v>
      </c>
      <c r="B648" s="24" t="s">
        <v>56</v>
      </c>
      <c r="C648" s="34">
        <v>25</v>
      </c>
      <c r="D648" s="52">
        <v>2</v>
      </c>
      <c r="E648" s="52">
        <v>0.25</v>
      </c>
      <c r="F648" s="52">
        <v>12.05</v>
      </c>
      <c r="G648" s="52">
        <v>59</v>
      </c>
      <c r="H648" s="52">
        <v>0</v>
      </c>
    </row>
    <row r="649" spans="1:8" ht="89.25" thickBot="1">
      <c r="A649" s="47"/>
      <c r="B649" s="24" t="s">
        <v>29</v>
      </c>
      <c r="C649" s="34">
        <f aca="true" t="shared" si="49" ref="C649:H649">C645+C646+C647+C648</f>
        <v>510</v>
      </c>
      <c r="D649" s="52">
        <f t="shared" si="49"/>
        <v>7.74</v>
      </c>
      <c r="E649" s="52">
        <f t="shared" si="49"/>
        <v>7.5</v>
      </c>
      <c r="F649" s="52">
        <f t="shared" si="49"/>
        <v>42.57000000000001</v>
      </c>
      <c r="G649" s="52">
        <f t="shared" si="49"/>
        <v>262.95</v>
      </c>
      <c r="H649" s="52">
        <f t="shared" si="49"/>
        <v>13.3</v>
      </c>
    </row>
    <row r="650" spans="1:8" ht="89.25" thickBot="1">
      <c r="A650" s="47"/>
      <c r="B650" s="24"/>
      <c r="C650" s="51"/>
      <c r="D650" s="40" t="s">
        <v>0</v>
      </c>
      <c r="E650" s="41" t="s">
        <v>1</v>
      </c>
      <c r="F650" s="41" t="s">
        <v>2</v>
      </c>
      <c r="G650" s="149" t="s">
        <v>3</v>
      </c>
      <c r="H650" s="41" t="s">
        <v>4</v>
      </c>
    </row>
    <row r="651" spans="1:8" ht="89.25" thickBot="1">
      <c r="A651" s="47"/>
      <c r="B651" s="58" t="s">
        <v>10</v>
      </c>
      <c r="C651" s="51"/>
      <c r="D651" s="52">
        <f>D628+D631+D639+D643+D649</f>
        <v>52.6</v>
      </c>
      <c r="E651" s="52">
        <f>E628+E631+E639+E643+E649</f>
        <v>64.99000000000001</v>
      </c>
      <c r="F651" s="52">
        <f>F628+F631+F639+F643+F649</f>
        <v>227.99</v>
      </c>
      <c r="G651" s="52">
        <f>G628+G631+G639+G643+G649</f>
        <v>1745.17</v>
      </c>
      <c r="H651" s="52">
        <f>H628+H631+H639+H643+H649</f>
        <v>49.480000000000004</v>
      </c>
    </row>
    <row r="652" spans="1:8" ht="89.25" thickBot="1">
      <c r="A652" s="47"/>
      <c r="B652" s="58" t="s">
        <v>11</v>
      </c>
      <c r="C652" s="51"/>
      <c r="D652" s="52">
        <v>54</v>
      </c>
      <c r="E652" s="52">
        <v>60</v>
      </c>
      <c r="F652" s="52">
        <v>261</v>
      </c>
      <c r="G652" s="52">
        <v>1800</v>
      </c>
      <c r="H652" s="52">
        <v>50</v>
      </c>
    </row>
    <row r="653" spans="1:8" ht="263.25" thickBot="1">
      <c r="A653" s="42"/>
      <c r="B653" s="59" t="s">
        <v>12</v>
      </c>
      <c r="C653" s="41"/>
      <c r="D653" s="60">
        <f>D651*100/D652</f>
        <v>97.4074074074074</v>
      </c>
      <c r="E653" s="60">
        <f>E651*100/E652</f>
        <v>108.31666666666668</v>
      </c>
      <c r="F653" s="60">
        <f>F651*100/F652</f>
        <v>87.35249042145594</v>
      </c>
      <c r="G653" s="60">
        <f>G651*100/G652</f>
        <v>96.95388888888888</v>
      </c>
      <c r="H653" s="60">
        <f>H651*100/H652</f>
        <v>98.96</v>
      </c>
    </row>
    <row r="654" spans="1:8" ht="88.5">
      <c r="A654" s="61"/>
      <c r="B654" s="147"/>
      <c r="C654" s="146"/>
      <c r="D654" s="62"/>
      <c r="E654" s="62"/>
      <c r="F654" s="62"/>
      <c r="G654" s="62"/>
      <c r="H654" s="62"/>
    </row>
    <row r="655" spans="1:8" ht="88.5">
      <c r="A655" s="61"/>
      <c r="B655" s="38" t="s">
        <v>68</v>
      </c>
      <c r="C655" s="38"/>
      <c r="E655" s="62"/>
      <c r="F655" s="62"/>
      <c r="G655" s="62"/>
      <c r="H655" s="62"/>
    </row>
    <row r="656" spans="1:2" ht="102">
      <c r="A656" s="61"/>
      <c r="B656" s="38" t="s">
        <v>271</v>
      </c>
    </row>
    <row r="657" spans="1:2" ht="88.5">
      <c r="A657" s="61"/>
      <c r="B657" s="38" t="s">
        <v>67</v>
      </c>
    </row>
    <row r="658" spans="1:2" ht="88.5">
      <c r="A658" s="61"/>
      <c r="B658" s="38" t="s">
        <v>151</v>
      </c>
    </row>
    <row r="659" spans="1:8" ht="88.5">
      <c r="A659" s="175" t="s">
        <v>186</v>
      </c>
      <c r="B659" s="175"/>
      <c r="C659" s="175"/>
      <c r="D659" s="175"/>
      <c r="E659" s="175"/>
      <c r="F659" s="175"/>
      <c r="G659" s="175"/>
      <c r="H659" s="175"/>
    </row>
    <row r="660" spans="1:8" ht="88.5">
      <c r="A660" s="175" t="s">
        <v>52</v>
      </c>
      <c r="B660" s="175"/>
      <c r="C660" s="175"/>
      <c r="D660" s="175"/>
      <c r="E660" s="175"/>
      <c r="F660" s="175"/>
      <c r="G660" s="175"/>
      <c r="H660" s="175"/>
    </row>
    <row r="661" spans="1:8" ht="88.5">
      <c r="A661" s="176" t="s">
        <v>49</v>
      </c>
      <c r="B661" s="176"/>
      <c r="C661" s="176"/>
      <c r="D661" s="176"/>
      <c r="E661" s="176"/>
      <c r="F661" s="176"/>
      <c r="G661" s="176"/>
      <c r="H661" s="176"/>
    </row>
    <row r="662" spans="1:8" ht="89.25" thickBot="1">
      <c r="A662" s="177"/>
      <c r="B662" s="177"/>
      <c r="C662" s="177"/>
      <c r="D662" s="177"/>
      <c r="E662" s="177"/>
      <c r="F662" s="177"/>
      <c r="G662" s="177"/>
      <c r="H662" s="177"/>
    </row>
    <row r="663" spans="1:8" ht="89.25" thickBot="1">
      <c r="A663" s="178" t="s">
        <v>30</v>
      </c>
      <c r="B663" s="180" t="s">
        <v>50</v>
      </c>
      <c r="C663" s="183" t="s">
        <v>111</v>
      </c>
      <c r="D663" s="172" t="s">
        <v>24</v>
      </c>
      <c r="E663" s="173"/>
      <c r="F663" s="174"/>
      <c r="G663" s="180" t="s">
        <v>51</v>
      </c>
      <c r="H663" s="180" t="s">
        <v>112</v>
      </c>
    </row>
    <row r="664" spans="1:8" ht="89.25" thickBot="1">
      <c r="A664" s="179"/>
      <c r="B664" s="181"/>
      <c r="C664" s="184"/>
      <c r="D664" s="40" t="s">
        <v>0</v>
      </c>
      <c r="E664" s="41" t="s">
        <v>1</v>
      </c>
      <c r="F664" s="41" t="s">
        <v>2</v>
      </c>
      <c r="G664" s="181"/>
      <c r="H664" s="181"/>
    </row>
    <row r="665" spans="1:8" ht="89.25" thickBot="1">
      <c r="A665" s="148">
        <v>1</v>
      </c>
      <c r="B665" s="43">
        <v>2</v>
      </c>
      <c r="C665" s="44">
        <v>3</v>
      </c>
      <c r="D665" s="63">
        <v>4</v>
      </c>
      <c r="E665" s="43">
        <v>5</v>
      </c>
      <c r="F665" s="43">
        <v>6</v>
      </c>
      <c r="G665" s="43">
        <v>7</v>
      </c>
      <c r="H665" s="43">
        <v>8</v>
      </c>
    </row>
    <row r="666" spans="1:8" ht="89.25" thickBot="1">
      <c r="A666" s="172" t="s">
        <v>5</v>
      </c>
      <c r="B666" s="173"/>
      <c r="C666" s="173"/>
      <c r="D666" s="173"/>
      <c r="E666" s="173"/>
      <c r="F666" s="173"/>
      <c r="G666" s="173"/>
      <c r="H666" s="174"/>
    </row>
    <row r="667" spans="1:8" ht="177.75" thickBot="1">
      <c r="A667" s="47">
        <v>93</v>
      </c>
      <c r="B667" s="128" t="s">
        <v>233</v>
      </c>
      <c r="C667" s="51" t="s">
        <v>27</v>
      </c>
      <c r="D667" s="52">
        <v>4.52</v>
      </c>
      <c r="E667" s="52">
        <v>5.91</v>
      </c>
      <c r="F667" s="52">
        <v>52.38</v>
      </c>
      <c r="G667" s="52">
        <v>288</v>
      </c>
      <c r="H667" s="52">
        <v>0.18</v>
      </c>
    </row>
    <row r="668" spans="1:8" ht="89.25" thickBot="1">
      <c r="A668" s="54">
        <v>13</v>
      </c>
      <c r="B668" s="50" t="s">
        <v>7</v>
      </c>
      <c r="C668" s="34">
        <v>200</v>
      </c>
      <c r="D668" s="52">
        <v>0</v>
      </c>
      <c r="E668" s="52">
        <v>0</v>
      </c>
      <c r="F668" s="52">
        <v>11.98</v>
      </c>
      <c r="G668" s="52">
        <v>45</v>
      </c>
      <c r="H668" s="52">
        <v>0</v>
      </c>
    </row>
    <row r="669" spans="1:8" ht="177.75" thickBot="1">
      <c r="A669" s="47" t="s">
        <v>32</v>
      </c>
      <c r="B669" s="56" t="s">
        <v>251</v>
      </c>
      <c r="C669" s="135" t="s">
        <v>240</v>
      </c>
      <c r="D669" s="52">
        <v>1</v>
      </c>
      <c r="E669" s="52">
        <v>6.58</v>
      </c>
      <c r="F669" s="52">
        <v>14.8</v>
      </c>
      <c r="G669" s="52">
        <v>122.75</v>
      </c>
      <c r="H669" s="52">
        <v>0</v>
      </c>
    </row>
    <row r="670" spans="1:8" ht="89.25" thickBot="1">
      <c r="A670" s="47">
        <v>16</v>
      </c>
      <c r="B670" s="24" t="s">
        <v>36</v>
      </c>
      <c r="C670" s="53" t="s">
        <v>155</v>
      </c>
      <c r="D670" s="52">
        <v>1.94</v>
      </c>
      <c r="E670" s="52">
        <v>3.77</v>
      </c>
      <c r="F670" s="52">
        <v>12.36</v>
      </c>
      <c r="G670" s="52">
        <v>91</v>
      </c>
      <c r="H670" s="52">
        <v>0</v>
      </c>
    </row>
    <row r="671" spans="1:8" ht="89.25" thickBot="1">
      <c r="A671" s="47"/>
      <c r="B671" s="24" t="s">
        <v>6</v>
      </c>
      <c r="C671" s="34">
        <f>C667+C668+C669+C670</f>
        <v>405</v>
      </c>
      <c r="D671" s="52">
        <f>SUM(D667:D670)</f>
        <v>7.459999999999999</v>
      </c>
      <c r="E671" s="52">
        <f>SUM(E667:E670)</f>
        <v>16.26</v>
      </c>
      <c r="F671" s="52">
        <f>SUM(F667:F670)</f>
        <v>91.52</v>
      </c>
      <c r="G671" s="52">
        <f>SUM(G667:G670)</f>
        <v>546.75</v>
      </c>
      <c r="H671" s="52">
        <f>SUM(H667:H670)</f>
        <v>0.18</v>
      </c>
    </row>
    <row r="672" spans="1:8" ht="89.25" thickBot="1">
      <c r="A672" s="172" t="s">
        <v>53</v>
      </c>
      <c r="B672" s="173"/>
      <c r="C672" s="173"/>
      <c r="D672" s="173"/>
      <c r="E672" s="173"/>
      <c r="F672" s="173"/>
      <c r="G672" s="173"/>
      <c r="H672" s="174"/>
    </row>
    <row r="673" spans="1:8" ht="89.25" thickBot="1">
      <c r="A673" s="47" t="s">
        <v>32</v>
      </c>
      <c r="B673" s="24" t="s">
        <v>182</v>
      </c>
      <c r="C673" s="53" t="s">
        <v>27</v>
      </c>
      <c r="D673" s="52">
        <v>0.3</v>
      </c>
      <c r="E673" s="52">
        <v>0.17</v>
      </c>
      <c r="F673" s="52">
        <v>15.17</v>
      </c>
      <c r="G673" s="52">
        <v>69</v>
      </c>
      <c r="H673" s="52">
        <v>3</v>
      </c>
    </row>
    <row r="674" spans="1:8" ht="89.25" thickBot="1">
      <c r="A674" s="47"/>
      <c r="B674" s="24" t="s">
        <v>6</v>
      </c>
      <c r="C674" s="51" t="s">
        <v>27</v>
      </c>
      <c r="D674" s="52">
        <f>SUM(D673)</f>
        <v>0.3</v>
      </c>
      <c r="E674" s="52">
        <f>SUM(E673)</f>
        <v>0.17</v>
      </c>
      <c r="F674" s="52">
        <f>SUM(F673)</f>
        <v>15.17</v>
      </c>
      <c r="G674" s="52">
        <f>SUM(G673)</f>
        <v>69</v>
      </c>
      <c r="H674" s="52">
        <f>SUM(H673)</f>
        <v>3</v>
      </c>
    </row>
    <row r="675" spans="1:8" ht="89.25" thickBot="1">
      <c r="A675" s="172" t="s">
        <v>8</v>
      </c>
      <c r="B675" s="173"/>
      <c r="C675" s="173"/>
      <c r="D675" s="173"/>
      <c r="E675" s="173"/>
      <c r="F675" s="173"/>
      <c r="G675" s="173"/>
      <c r="H675" s="174"/>
    </row>
    <row r="676" spans="1:8" ht="177.75" customHeight="1" thickBot="1">
      <c r="A676" s="54">
        <v>38</v>
      </c>
      <c r="B676" s="24" t="s">
        <v>269</v>
      </c>
      <c r="C676" s="53" t="s">
        <v>258</v>
      </c>
      <c r="D676" s="52">
        <v>0.88</v>
      </c>
      <c r="E676" s="52">
        <v>0.16</v>
      </c>
      <c r="F676" s="52">
        <v>4.48</v>
      </c>
      <c r="G676" s="52">
        <v>22.86</v>
      </c>
      <c r="H676" s="52">
        <v>1.92</v>
      </c>
    </row>
    <row r="677" spans="1:8" ht="266.25" thickBot="1">
      <c r="A677" s="47">
        <v>83</v>
      </c>
      <c r="B677" s="24" t="s">
        <v>239</v>
      </c>
      <c r="C677" s="51" t="s">
        <v>25</v>
      </c>
      <c r="D677" s="52">
        <v>5.52</v>
      </c>
      <c r="E677" s="52">
        <v>6.11</v>
      </c>
      <c r="F677" s="52">
        <v>9.01</v>
      </c>
      <c r="G677" s="52">
        <v>124</v>
      </c>
      <c r="H677" s="52">
        <v>7.15</v>
      </c>
    </row>
    <row r="678" spans="1:8" ht="89.25" thickBot="1">
      <c r="A678" s="47">
        <v>35</v>
      </c>
      <c r="B678" s="24" t="s">
        <v>168</v>
      </c>
      <c r="C678" s="51" t="s">
        <v>114</v>
      </c>
      <c r="D678" s="52">
        <v>6.75</v>
      </c>
      <c r="E678" s="52">
        <v>8.55</v>
      </c>
      <c r="F678" s="52">
        <v>2.78</v>
      </c>
      <c r="G678" s="52">
        <v>185.4</v>
      </c>
      <c r="H678" s="52">
        <v>0.9</v>
      </c>
    </row>
    <row r="679" spans="1:8" ht="177.75" thickBot="1">
      <c r="A679" s="64">
        <v>42</v>
      </c>
      <c r="B679" s="65" t="s">
        <v>152</v>
      </c>
      <c r="C679" s="66">
        <v>150</v>
      </c>
      <c r="D679" s="67">
        <v>5.42</v>
      </c>
      <c r="E679" s="67">
        <v>4.82</v>
      </c>
      <c r="F679" s="67">
        <v>31.78</v>
      </c>
      <c r="G679" s="67">
        <v>184</v>
      </c>
      <c r="H679" s="67">
        <v>0</v>
      </c>
    </row>
    <row r="680" spans="1:8" ht="266.25" thickBot="1">
      <c r="A680" s="47">
        <v>20</v>
      </c>
      <c r="B680" s="24" t="s">
        <v>232</v>
      </c>
      <c r="C680" s="53" t="s">
        <v>25</v>
      </c>
      <c r="D680" s="52">
        <v>0</v>
      </c>
      <c r="E680" s="52">
        <v>0</v>
      </c>
      <c r="F680" s="52">
        <v>32.44</v>
      </c>
      <c r="G680" s="52">
        <v>125</v>
      </c>
      <c r="H680" s="52">
        <v>0</v>
      </c>
    </row>
    <row r="681" spans="1:8" ht="177.75" thickBot="1">
      <c r="A681" s="47" t="s">
        <v>32</v>
      </c>
      <c r="B681" s="24" t="s">
        <v>56</v>
      </c>
      <c r="C681" s="34">
        <v>25</v>
      </c>
      <c r="D681" s="52">
        <v>2</v>
      </c>
      <c r="E681" s="52">
        <v>0.25</v>
      </c>
      <c r="F681" s="52">
        <v>12.05</v>
      </c>
      <c r="G681" s="52">
        <v>59</v>
      </c>
      <c r="H681" s="52">
        <v>0</v>
      </c>
    </row>
    <row r="682" spans="1:8" ht="177.75" thickBot="1">
      <c r="A682" s="47" t="s">
        <v>32</v>
      </c>
      <c r="B682" s="24" t="s">
        <v>58</v>
      </c>
      <c r="C682" s="34">
        <v>50</v>
      </c>
      <c r="D682" s="52">
        <v>2.8</v>
      </c>
      <c r="E682" s="52">
        <v>0.6</v>
      </c>
      <c r="F682" s="52">
        <v>24.7</v>
      </c>
      <c r="G682" s="52">
        <v>116</v>
      </c>
      <c r="H682" s="52">
        <v>0</v>
      </c>
    </row>
    <row r="683" spans="1:8" ht="89.25" thickBot="1">
      <c r="A683" s="54"/>
      <c r="B683" s="26" t="s">
        <v>29</v>
      </c>
      <c r="C683" s="34">
        <f aca="true" t="shared" si="50" ref="C683:H683">C676+C677+C678+C679+C680+C681+C682</f>
        <v>755</v>
      </c>
      <c r="D683" s="48">
        <f t="shared" si="50"/>
        <v>23.37</v>
      </c>
      <c r="E683" s="48">
        <f t="shared" si="50"/>
        <v>20.490000000000002</v>
      </c>
      <c r="F683" s="48">
        <f t="shared" si="50"/>
        <v>117.24</v>
      </c>
      <c r="G683" s="48">
        <f t="shared" si="50"/>
        <v>816.26</v>
      </c>
      <c r="H683" s="48">
        <f t="shared" si="50"/>
        <v>9.97</v>
      </c>
    </row>
    <row r="684" spans="1:8" ht="89.25" thickBot="1">
      <c r="A684" s="172" t="s">
        <v>145</v>
      </c>
      <c r="B684" s="173"/>
      <c r="C684" s="173"/>
      <c r="D684" s="173"/>
      <c r="E684" s="173"/>
      <c r="F684" s="173"/>
      <c r="G684" s="173"/>
      <c r="H684" s="174"/>
    </row>
    <row r="685" spans="1:8" ht="169.5" customHeight="1" thickBot="1">
      <c r="A685" s="55">
        <v>21.1</v>
      </c>
      <c r="B685" s="56" t="s">
        <v>172</v>
      </c>
      <c r="C685" s="51" t="s">
        <v>115</v>
      </c>
      <c r="D685" s="48">
        <v>5.22</v>
      </c>
      <c r="E685" s="48">
        <v>5.76</v>
      </c>
      <c r="F685" s="48">
        <v>7.2</v>
      </c>
      <c r="G685" s="48">
        <v>106.2</v>
      </c>
      <c r="H685" s="48">
        <v>1.26</v>
      </c>
    </row>
    <row r="686" spans="1:8" ht="266.25" thickBot="1">
      <c r="A686" s="47">
        <v>24</v>
      </c>
      <c r="B686" s="24" t="s">
        <v>104</v>
      </c>
      <c r="C686" s="51" t="s">
        <v>270</v>
      </c>
      <c r="D686" s="52">
        <v>1.69</v>
      </c>
      <c r="E686" s="52">
        <v>2.25</v>
      </c>
      <c r="F686" s="52">
        <v>39.39</v>
      </c>
      <c r="G686" s="52">
        <v>163.14</v>
      </c>
      <c r="H686" s="52">
        <v>0</v>
      </c>
    </row>
    <row r="687" spans="1:8" ht="89.25" thickBot="1">
      <c r="A687" s="54"/>
      <c r="B687" s="24" t="s">
        <v>29</v>
      </c>
      <c r="C687" s="34">
        <f aca="true" t="shared" si="51" ref="C687:H687">C685+C686</f>
        <v>255</v>
      </c>
      <c r="D687" s="52">
        <f t="shared" si="51"/>
        <v>6.91</v>
      </c>
      <c r="E687" s="52">
        <f t="shared" si="51"/>
        <v>8.01</v>
      </c>
      <c r="F687" s="52">
        <f t="shared" si="51"/>
        <v>46.59</v>
      </c>
      <c r="G687" s="52">
        <f t="shared" si="51"/>
        <v>269.34</v>
      </c>
      <c r="H687" s="52">
        <f t="shared" si="51"/>
        <v>1.26</v>
      </c>
    </row>
    <row r="688" spans="1:8" ht="89.25" thickBot="1">
      <c r="A688" s="172" t="s">
        <v>144</v>
      </c>
      <c r="B688" s="173"/>
      <c r="C688" s="173"/>
      <c r="D688" s="173"/>
      <c r="E688" s="173"/>
      <c r="F688" s="173"/>
      <c r="G688" s="173"/>
      <c r="H688" s="174"/>
    </row>
    <row r="689" spans="1:8" ht="89.25" thickBot="1">
      <c r="A689" s="47">
        <v>73</v>
      </c>
      <c r="B689" s="24" t="s">
        <v>212</v>
      </c>
      <c r="C689" s="53" t="s">
        <v>234</v>
      </c>
      <c r="D689" s="52">
        <v>7.68</v>
      </c>
      <c r="E689" s="52">
        <v>10.08</v>
      </c>
      <c r="F689" s="52">
        <v>23.01</v>
      </c>
      <c r="G689" s="52">
        <v>244</v>
      </c>
      <c r="H689" s="52">
        <v>18.16</v>
      </c>
    </row>
    <row r="690" spans="1:8" ht="177.75" thickBot="1">
      <c r="A690" s="47" t="s">
        <v>32</v>
      </c>
      <c r="B690" s="24" t="s">
        <v>56</v>
      </c>
      <c r="C690" s="34">
        <v>25</v>
      </c>
      <c r="D690" s="52">
        <v>2</v>
      </c>
      <c r="E690" s="52">
        <v>0.25</v>
      </c>
      <c r="F690" s="52">
        <v>12.05</v>
      </c>
      <c r="G690" s="52">
        <v>59</v>
      </c>
      <c r="H690" s="52">
        <v>0</v>
      </c>
    </row>
    <row r="691" spans="1:8" ht="177.75" thickBot="1">
      <c r="A691" s="47">
        <v>69</v>
      </c>
      <c r="B691" s="24" t="s">
        <v>106</v>
      </c>
      <c r="C691" s="51" t="s">
        <v>253</v>
      </c>
      <c r="D691" s="52">
        <v>0.34</v>
      </c>
      <c r="E691" s="52">
        <v>0.34</v>
      </c>
      <c r="F691" s="52">
        <v>8.33</v>
      </c>
      <c r="G691" s="52">
        <v>39.95</v>
      </c>
      <c r="H691" s="52">
        <v>8.5</v>
      </c>
    </row>
    <row r="692" spans="1:8" ht="177.75" thickBot="1">
      <c r="A692" s="47">
        <v>2</v>
      </c>
      <c r="B692" s="24" t="s">
        <v>69</v>
      </c>
      <c r="C692" s="34">
        <v>200</v>
      </c>
      <c r="D692" s="48">
        <v>3.28</v>
      </c>
      <c r="E692" s="48">
        <v>3.44</v>
      </c>
      <c r="F692" s="48">
        <v>15.92</v>
      </c>
      <c r="G692" s="48">
        <v>105</v>
      </c>
      <c r="H692" s="48">
        <v>1.3</v>
      </c>
    </row>
    <row r="693" spans="1:8" ht="89.25" thickBot="1">
      <c r="A693" s="42"/>
      <c r="B693" s="24" t="s">
        <v>6</v>
      </c>
      <c r="C693" s="34">
        <f aca="true" t="shared" si="52" ref="C693:H693">C689+C690+C691+C692</f>
        <v>563</v>
      </c>
      <c r="D693" s="52">
        <f t="shared" si="52"/>
        <v>13.299999999999999</v>
      </c>
      <c r="E693" s="52">
        <f t="shared" si="52"/>
        <v>14.11</v>
      </c>
      <c r="F693" s="52">
        <f t="shared" si="52"/>
        <v>59.31</v>
      </c>
      <c r="G693" s="52">
        <f t="shared" si="52"/>
        <v>447.95</v>
      </c>
      <c r="H693" s="52">
        <f t="shared" si="52"/>
        <v>27.96</v>
      </c>
    </row>
    <row r="694" spans="1:8" ht="89.25" thickBot="1">
      <c r="A694" s="47"/>
      <c r="B694" s="24"/>
      <c r="C694" s="51"/>
      <c r="D694" s="40" t="s">
        <v>0</v>
      </c>
      <c r="E694" s="41" t="s">
        <v>1</v>
      </c>
      <c r="F694" s="41" t="s">
        <v>2</v>
      </c>
      <c r="G694" s="149" t="s">
        <v>3</v>
      </c>
      <c r="H694" s="41" t="s">
        <v>4</v>
      </c>
    </row>
    <row r="695" spans="1:8" ht="89.25" thickBot="1">
      <c r="A695" s="47"/>
      <c r="B695" s="58" t="s">
        <v>10</v>
      </c>
      <c r="C695" s="51"/>
      <c r="D695" s="52">
        <f>D671+D674+D683+D687+D693</f>
        <v>51.339999999999996</v>
      </c>
      <c r="E695" s="52">
        <f>E671+E674+E683+E687+E693</f>
        <v>59.04</v>
      </c>
      <c r="F695" s="52">
        <f>F671+F674+F683+F687+F693</f>
        <v>329.83</v>
      </c>
      <c r="G695" s="52">
        <f>G671+G674+G683+G687+G693</f>
        <v>2149.2999999999997</v>
      </c>
      <c r="H695" s="52">
        <f>H671+H674+H683+H687+H693</f>
        <v>42.370000000000005</v>
      </c>
    </row>
    <row r="696" spans="1:8" ht="89.25" thickBot="1">
      <c r="A696" s="47"/>
      <c r="B696" s="58" t="s">
        <v>11</v>
      </c>
      <c r="C696" s="51"/>
      <c r="D696" s="52">
        <v>54</v>
      </c>
      <c r="E696" s="52">
        <v>60</v>
      </c>
      <c r="F696" s="52">
        <v>261</v>
      </c>
      <c r="G696" s="52">
        <v>1800</v>
      </c>
      <c r="H696" s="52">
        <v>50</v>
      </c>
    </row>
    <row r="697" spans="1:8" ht="263.25" thickBot="1">
      <c r="A697" s="42"/>
      <c r="B697" s="59" t="s">
        <v>12</v>
      </c>
      <c r="C697" s="41"/>
      <c r="D697" s="60">
        <f>D695*100/D696</f>
        <v>95.07407407407408</v>
      </c>
      <c r="E697" s="60">
        <f>E695*100/E696</f>
        <v>98.4</v>
      </c>
      <c r="F697" s="60">
        <f>F695*100/F696</f>
        <v>126.37164750957854</v>
      </c>
      <c r="G697" s="60">
        <f>G695*100/G696</f>
        <v>119.40555555555554</v>
      </c>
      <c r="H697" s="60">
        <f>H695*100/H696</f>
        <v>84.74</v>
      </c>
    </row>
    <row r="698" spans="1:8" ht="88.5">
      <c r="A698" s="61"/>
      <c r="B698" s="147"/>
      <c r="C698" s="146"/>
      <c r="D698" s="62"/>
      <c r="E698" s="62"/>
      <c r="F698" s="62"/>
      <c r="G698" s="62"/>
      <c r="H698" s="62"/>
    </row>
    <row r="699" spans="1:8" ht="88.5">
      <c r="A699" s="61"/>
      <c r="B699" s="38" t="s">
        <v>68</v>
      </c>
      <c r="C699" s="38"/>
      <c r="E699" s="62"/>
      <c r="F699" s="62"/>
      <c r="G699" s="62"/>
      <c r="H699" s="62"/>
    </row>
    <row r="700" spans="1:2" ht="102">
      <c r="A700" s="61"/>
      <c r="B700" s="38" t="s">
        <v>271</v>
      </c>
    </row>
    <row r="701" spans="1:2" ht="88.5">
      <c r="A701" s="61"/>
      <c r="B701" s="38" t="s">
        <v>67</v>
      </c>
    </row>
    <row r="702" spans="1:2" ht="88.5">
      <c r="A702" s="61"/>
      <c r="B702" s="38" t="s">
        <v>151</v>
      </c>
    </row>
    <row r="703" spans="1:8" ht="88.5">
      <c r="A703" s="175" t="s">
        <v>190</v>
      </c>
      <c r="B703" s="175"/>
      <c r="C703" s="175"/>
      <c r="D703" s="175"/>
      <c r="E703" s="175"/>
      <c r="F703" s="175"/>
      <c r="G703" s="175"/>
      <c r="H703" s="175"/>
    </row>
    <row r="704" spans="1:8" ht="88.5">
      <c r="A704" s="175" t="s">
        <v>52</v>
      </c>
      <c r="B704" s="175"/>
      <c r="C704" s="175"/>
      <c r="D704" s="175"/>
      <c r="E704" s="175"/>
      <c r="F704" s="175"/>
      <c r="G704" s="175"/>
      <c r="H704" s="175"/>
    </row>
    <row r="705" spans="1:8" ht="88.5">
      <c r="A705" s="176" t="s">
        <v>49</v>
      </c>
      <c r="B705" s="176"/>
      <c r="C705" s="176"/>
      <c r="D705" s="176"/>
      <c r="E705" s="176"/>
      <c r="F705" s="176"/>
      <c r="G705" s="176"/>
      <c r="H705" s="176"/>
    </row>
    <row r="706" spans="1:8" ht="89.25" thickBot="1">
      <c r="A706" s="177"/>
      <c r="B706" s="177"/>
      <c r="C706" s="177"/>
      <c r="D706" s="177"/>
      <c r="E706" s="177"/>
      <c r="F706" s="177"/>
      <c r="G706" s="177"/>
      <c r="H706" s="177"/>
    </row>
    <row r="707" spans="1:8" ht="89.25" thickBot="1">
      <c r="A707" s="178" t="s">
        <v>30</v>
      </c>
      <c r="B707" s="180" t="s">
        <v>50</v>
      </c>
      <c r="C707" s="183" t="s">
        <v>111</v>
      </c>
      <c r="D707" s="172" t="s">
        <v>24</v>
      </c>
      <c r="E707" s="173"/>
      <c r="F707" s="174"/>
      <c r="G707" s="180" t="s">
        <v>51</v>
      </c>
      <c r="H707" s="180" t="s">
        <v>112</v>
      </c>
    </row>
    <row r="708" spans="1:8" ht="89.25" thickBot="1">
      <c r="A708" s="179"/>
      <c r="B708" s="181"/>
      <c r="C708" s="184"/>
      <c r="D708" s="40" t="s">
        <v>0</v>
      </c>
      <c r="E708" s="41" t="s">
        <v>1</v>
      </c>
      <c r="F708" s="41" t="s">
        <v>2</v>
      </c>
      <c r="G708" s="181"/>
      <c r="H708" s="181"/>
    </row>
    <row r="709" spans="1:8" ht="89.25" thickBot="1">
      <c r="A709" s="148">
        <v>1</v>
      </c>
      <c r="B709" s="43">
        <v>2</v>
      </c>
      <c r="C709" s="44">
        <v>3</v>
      </c>
      <c r="D709" s="63">
        <v>4</v>
      </c>
      <c r="E709" s="43">
        <v>5</v>
      </c>
      <c r="F709" s="43">
        <v>6</v>
      </c>
      <c r="G709" s="43">
        <v>7</v>
      </c>
      <c r="H709" s="43">
        <v>8</v>
      </c>
    </row>
    <row r="710" spans="1:8" ht="89.25" thickBot="1">
      <c r="A710" s="172" t="s">
        <v>5</v>
      </c>
      <c r="B710" s="173"/>
      <c r="C710" s="173"/>
      <c r="D710" s="173"/>
      <c r="E710" s="173"/>
      <c r="F710" s="173"/>
      <c r="G710" s="173"/>
      <c r="H710" s="174"/>
    </row>
    <row r="711" spans="1:8" ht="177.75" thickBot="1">
      <c r="A711" s="54">
        <v>32</v>
      </c>
      <c r="B711" s="26" t="s">
        <v>218</v>
      </c>
      <c r="C711" s="34">
        <v>180</v>
      </c>
      <c r="D711" s="48">
        <v>5.6</v>
      </c>
      <c r="E711" s="48">
        <v>6.7</v>
      </c>
      <c r="F711" s="48">
        <v>22.6</v>
      </c>
      <c r="G711" s="48">
        <v>172.8</v>
      </c>
      <c r="H711" s="48">
        <v>1.8</v>
      </c>
    </row>
    <row r="712" spans="1:8" ht="89.25" thickBot="1">
      <c r="A712" s="54">
        <v>15</v>
      </c>
      <c r="B712" s="50" t="s">
        <v>224</v>
      </c>
      <c r="C712" s="34">
        <v>200</v>
      </c>
      <c r="D712" s="52">
        <v>3.12</v>
      </c>
      <c r="E712" s="52">
        <v>3.39</v>
      </c>
      <c r="F712" s="52">
        <v>15.81</v>
      </c>
      <c r="G712" s="52">
        <v>106</v>
      </c>
      <c r="H712" s="52">
        <v>1.3</v>
      </c>
    </row>
    <row r="713" spans="1:8" ht="89.25" thickBot="1">
      <c r="A713" s="47">
        <v>16</v>
      </c>
      <c r="B713" s="24" t="s">
        <v>36</v>
      </c>
      <c r="C713" s="53" t="s">
        <v>155</v>
      </c>
      <c r="D713" s="52">
        <v>1.94</v>
      </c>
      <c r="E713" s="52">
        <v>3.77</v>
      </c>
      <c r="F713" s="52">
        <v>12.36</v>
      </c>
      <c r="G713" s="52">
        <v>91</v>
      </c>
      <c r="H713" s="52">
        <v>0</v>
      </c>
    </row>
    <row r="714" spans="1:8" ht="89.25" thickBot="1">
      <c r="A714" s="47"/>
      <c r="B714" s="24" t="s">
        <v>6</v>
      </c>
      <c r="C714" s="34">
        <f>C711+C712+C713</f>
        <v>410</v>
      </c>
      <c r="D714" s="52">
        <f>SUM(D711:D713)</f>
        <v>10.659999999999998</v>
      </c>
      <c r="E714" s="52">
        <f>SUM(E711+E712+E713)</f>
        <v>13.86</v>
      </c>
      <c r="F714" s="52">
        <f>SUM(F711+F712+F713)</f>
        <v>50.77</v>
      </c>
      <c r="G714" s="52">
        <f>SUM(G711+G712+G713)</f>
        <v>369.8</v>
      </c>
      <c r="H714" s="52">
        <f>SUM(H711+H712+H713)</f>
        <v>3.1</v>
      </c>
    </row>
    <row r="715" spans="1:8" ht="89.25" thickBot="1">
      <c r="A715" s="172" t="s">
        <v>53</v>
      </c>
      <c r="B715" s="173"/>
      <c r="C715" s="173"/>
      <c r="D715" s="173"/>
      <c r="E715" s="173"/>
      <c r="F715" s="173"/>
      <c r="G715" s="173"/>
      <c r="H715" s="174"/>
    </row>
    <row r="716" spans="1:8" ht="89.25" thickBot="1">
      <c r="A716" s="47" t="s">
        <v>32</v>
      </c>
      <c r="B716" s="24" t="s">
        <v>182</v>
      </c>
      <c r="C716" s="53" t="s">
        <v>27</v>
      </c>
      <c r="D716" s="52">
        <v>0.3</v>
      </c>
      <c r="E716" s="52">
        <v>0.17</v>
      </c>
      <c r="F716" s="52">
        <v>15.17</v>
      </c>
      <c r="G716" s="52">
        <v>69</v>
      </c>
      <c r="H716" s="52">
        <v>3</v>
      </c>
    </row>
    <row r="717" spans="1:8" ht="89.25" thickBot="1">
      <c r="A717" s="47"/>
      <c r="B717" s="24" t="s">
        <v>6</v>
      </c>
      <c r="C717" s="51" t="s">
        <v>27</v>
      </c>
      <c r="D717" s="52">
        <f>SUM(D716)</f>
        <v>0.3</v>
      </c>
      <c r="E717" s="52">
        <f>SUM(E716)</f>
        <v>0.17</v>
      </c>
      <c r="F717" s="52">
        <f>SUM(F716)</f>
        <v>15.17</v>
      </c>
      <c r="G717" s="52">
        <f>SUM(G716)</f>
        <v>69</v>
      </c>
      <c r="H717" s="52">
        <f>SUM(H716)</f>
        <v>3</v>
      </c>
    </row>
    <row r="718" spans="1:8" ht="89.25" thickBot="1">
      <c r="A718" s="172" t="s">
        <v>8</v>
      </c>
      <c r="B718" s="173"/>
      <c r="C718" s="173"/>
      <c r="D718" s="173"/>
      <c r="E718" s="173"/>
      <c r="F718" s="173"/>
      <c r="G718" s="173"/>
      <c r="H718" s="174"/>
    </row>
    <row r="719" spans="1:8" ht="177.75" thickBot="1">
      <c r="A719" s="54">
        <v>12</v>
      </c>
      <c r="B719" s="24" t="s">
        <v>227</v>
      </c>
      <c r="C719" s="34">
        <v>60</v>
      </c>
      <c r="D719" s="52">
        <v>0.93</v>
      </c>
      <c r="E719" s="52">
        <v>6.03</v>
      </c>
      <c r="F719" s="52">
        <v>6.2</v>
      </c>
      <c r="G719" s="52">
        <v>86.67</v>
      </c>
      <c r="H719" s="52">
        <v>2.69</v>
      </c>
    </row>
    <row r="720" spans="1:8" ht="266.25" thickBot="1">
      <c r="A720" s="47">
        <v>60</v>
      </c>
      <c r="B720" s="24" t="s">
        <v>208</v>
      </c>
      <c r="C720" s="53" t="s">
        <v>25</v>
      </c>
      <c r="D720" s="52">
        <v>5.2</v>
      </c>
      <c r="E720" s="52">
        <v>4.24</v>
      </c>
      <c r="F720" s="52">
        <v>11.62</v>
      </c>
      <c r="G720" s="52">
        <v>133.8</v>
      </c>
      <c r="H720" s="52">
        <v>8.42</v>
      </c>
    </row>
    <row r="721" spans="1:8" ht="177.75" thickBot="1">
      <c r="A721" s="54">
        <v>29</v>
      </c>
      <c r="B721" s="24" t="s">
        <v>163</v>
      </c>
      <c r="C721" s="51" t="s">
        <v>26</v>
      </c>
      <c r="D721" s="52">
        <v>9.75</v>
      </c>
      <c r="E721" s="52">
        <v>5.45</v>
      </c>
      <c r="F721" s="52">
        <v>35.41</v>
      </c>
      <c r="G721" s="52">
        <v>142.5</v>
      </c>
      <c r="H721" s="52">
        <v>0.51</v>
      </c>
    </row>
    <row r="722" spans="1:8" ht="89.25" thickBot="1">
      <c r="A722" s="54">
        <v>8</v>
      </c>
      <c r="B722" s="24" t="s">
        <v>37</v>
      </c>
      <c r="C722" s="34">
        <v>130</v>
      </c>
      <c r="D722" s="52">
        <v>2.63</v>
      </c>
      <c r="E722" s="52">
        <v>4.53</v>
      </c>
      <c r="F722" s="52">
        <v>15.66</v>
      </c>
      <c r="G722" s="52">
        <v>123.07</v>
      </c>
      <c r="H722" s="52">
        <v>9.1</v>
      </c>
    </row>
    <row r="723" spans="1:8" ht="89.25" thickBot="1">
      <c r="A723" s="47">
        <v>9</v>
      </c>
      <c r="B723" s="24" t="s">
        <v>43</v>
      </c>
      <c r="C723" s="34">
        <v>200</v>
      </c>
      <c r="D723" s="52">
        <v>0.4</v>
      </c>
      <c r="E723" s="52">
        <v>0</v>
      </c>
      <c r="F723" s="52">
        <v>21</v>
      </c>
      <c r="G723" s="52">
        <v>88</v>
      </c>
      <c r="H723" s="52">
        <v>0.36</v>
      </c>
    </row>
    <row r="724" spans="1:8" ht="177.75" thickBot="1">
      <c r="A724" s="47" t="s">
        <v>32</v>
      </c>
      <c r="B724" s="24" t="s">
        <v>56</v>
      </c>
      <c r="C724" s="34">
        <v>25</v>
      </c>
      <c r="D724" s="52">
        <v>2</v>
      </c>
      <c r="E724" s="52">
        <v>0.25</v>
      </c>
      <c r="F724" s="52">
        <v>12.05</v>
      </c>
      <c r="G724" s="52">
        <v>59</v>
      </c>
      <c r="H724" s="52">
        <v>0</v>
      </c>
    </row>
    <row r="725" spans="1:8" ht="177.75" thickBot="1">
      <c r="A725" s="47" t="s">
        <v>32</v>
      </c>
      <c r="B725" s="24" t="s">
        <v>58</v>
      </c>
      <c r="C725" s="34">
        <v>50</v>
      </c>
      <c r="D725" s="52">
        <v>2.8</v>
      </c>
      <c r="E725" s="52">
        <v>0.6</v>
      </c>
      <c r="F725" s="52">
        <v>24.7</v>
      </c>
      <c r="G725" s="52">
        <v>116</v>
      </c>
      <c r="H725" s="52">
        <v>0</v>
      </c>
    </row>
    <row r="726" spans="1:8" ht="89.25" thickBot="1">
      <c r="A726" s="54"/>
      <c r="B726" s="26" t="s">
        <v>29</v>
      </c>
      <c r="C726" s="34">
        <f aca="true" t="shared" si="53" ref="C726:H726">C719+C720+C721+C722+C723+C724+C725</f>
        <v>765</v>
      </c>
      <c r="D726" s="48">
        <f t="shared" si="53"/>
        <v>23.709999999999997</v>
      </c>
      <c r="E726" s="48">
        <f t="shared" si="53"/>
        <v>21.1</v>
      </c>
      <c r="F726" s="48">
        <f t="shared" si="53"/>
        <v>126.64</v>
      </c>
      <c r="G726" s="48">
        <f t="shared" si="53"/>
        <v>749.04</v>
      </c>
      <c r="H726" s="48">
        <f t="shared" si="53"/>
        <v>21.08</v>
      </c>
    </row>
    <row r="727" spans="1:8" ht="89.25" thickBot="1">
      <c r="A727" s="172" t="s">
        <v>145</v>
      </c>
      <c r="B727" s="173"/>
      <c r="C727" s="173"/>
      <c r="D727" s="173"/>
      <c r="E727" s="173"/>
      <c r="F727" s="173"/>
      <c r="G727" s="173"/>
      <c r="H727" s="174"/>
    </row>
    <row r="728" spans="1:8" ht="266.25" thickBot="1">
      <c r="A728" s="55">
        <v>21.1</v>
      </c>
      <c r="B728" s="56" t="s">
        <v>172</v>
      </c>
      <c r="C728" s="51" t="s">
        <v>115</v>
      </c>
      <c r="D728" s="48">
        <v>5.22</v>
      </c>
      <c r="E728" s="48">
        <v>5.76</v>
      </c>
      <c r="F728" s="48">
        <v>7.2</v>
      </c>
      <c r="G728" s="48">
        <v>106.2</v>
      </c>
      <c r="H728" s="48">
        <v>1.26</v>
      </c>
    </row>
    <row r="729" spans="1:8" ht="89.25" thickBot="1">
      <c r="A729" s="47">
        <v>11</v>
      </c>
      <c r="B729" s="24" t="s">
        <v>219</v>
      </c>
      <c r="C729" s="51" t="s">
        <v>59</v>
      </c>
      <c r="D729" s="52">
        <v>12.52</v>
      </c>
      <c r="E729" s="52">
        <v>15.2</v>
      </c>
      <c r="F729" s="52">
        <v>22.11</v>
      </c>
      <c r="G729" s="52">
        <v>286</v>
      </c>
      <c r="H729" s="52">
        <v>0.38</v>
      </c>
    </row>
    <row r="730" spans="1:8" ht="89.25" thickBot="1">
      <c r="A730" s="54"/>
      <c r="B730" s="24" t="s">
        <v>29</v>
      </c>
      <c r="C730" s="34">
        <f aca="true" t="shared" si="54" ref="C730:H730">C728+C729</f>
        <v>250</v>
      </c>
      <c r="D730" s="52">
        <f t="shared" si="54"/>
        <v>17.74</v>
      </c>
      <c r="E730" s="52">
        <f t="shared" si="54"/>
        <v>20.96</v>
      </c>
      <c r="F730" s="52">
        <f t="shared" si="54"/>
        <v>29.31</v>
      </c>
      <c r="G730" s="52">
        <f t="shared" si="54"/>
        <v>392.2</v>
      </c>
      <c r="H730" s="52">
        <f t="shared" si="54"/>
        <v>1.6400000000000001</v>
      </c>
    </row>
    <row r="731" spans="1:8" ht="89.25" thickBot="1">
      <c r="A731" s="172" t="s">
        <v>144</v>
      </c>
      <c r="B731" s="173"/>
      <c r="C731" s="173"/>
      <c r="D731" s="173"/>
      <c r="E731" s="173"/>
      <c r="F731" s="173"/>
      <c r="G731" s="173"/>
      <c r="H731" s="174"/>
    </row>
    <row r="732" spans="1:8" ht="177.75" thickBot="1">
      <c r="A732" s="54">
        <v>37</v>
      </c>
      <c r="B732" s="26" t="s">
        <v>35</v>
      </c>
      <c r="C732" s="34">
        <v>150</v>
      </c>
      <c r="D732" s="48">
        <v>11.73</v>
      </c>
      <c r="E732" s="48">
        <v>12.59</v>
      </c>
      <c r="F732" s="48">
        <v>0.03</v>
      </c>
      <c r="G732" s="48">
        <v>174</v>
      </c>
      <c r="H732" s="48">
        <v>0.95</v>
      </c>
    </row>
    <row r="733" spans="1:8" ht="89.25" thickBot="1">
      <c r="A733" s="54">
        <v>41</v>
      </c>
      <c r="B733" s="24" t="s">
        <v>101</v>
      </c>
      <c r="C733" s="53" t="s">
        <v>34</v>
      </c>
      <c r="D733" s="52">
        <v>0.72</v>
      </c>
      <c r="E733" s="52">
        <v>2.84</v>
      </c>
      <c r="F733" s="52">
        <v>4.64</v>
      </c>
      <c r="G733" s="52">
        <v>46.8</v>
      </c>
      <c r="H733" s="52">
        <v>5.76</v>
      </c>
    </row>
    <row r="734" spans="1:8" ht="177.75" thickBot="1">
      <c r="A734" s="47" t="s">
        <v>32</v>
      </c>
      <c r="B734" s="24" t="s">
        <v>56</v>
      </c>
      <c r="C734" s="34">
        <v>25</v>
      </c>
      <c r="D734" s="52">
        <v>2</v>
      </c>
      <c r="E734" s="52">
        <v>0.25</v>
      </c>
      <c r="F734" s="52">
        <v>12.05</v>
      </c>
      <c r="G734" s="52">
        <v>59</v>
      </c>
      <c r="H734" s="52">
        <v>0</v>
      </c>
    </row>
    <row r="735" spans="1:8" ht="89.25" thickBot="1">
      <c r="A735" s="54">
        <v>13</v>
      </c>
      <c r="B735" s="50" t="s">
        <v>7</v>
      </c>
      <c r="C735" s="34">
        <v>200</v>
      </c>
      <c r="D735" s="52">
        <v>0</v>
      </c>
      <c r="E735" s="52">
        <v>0</v>
      </c>
      <c r="F735" s="52">
        <v>11.98</v>
      </c>
      <c r="G735" s="52">
        <v>45</v>
      </c>
      <c r="H735" s="52">
        <v>0</v>
      </c>
    </row>
    <row r="736" spans="1:8" ht="177.75" thickBot="1">
      <c r="A736" s="47">
        <v>69</v>
      </c>
      <c r="B736" s="24" t="s">
        <v>106</v>
      </c>
      <c r="C736" s="51" t="s">
        <v>253</v>
      </c>
      <c r="D736" s="52">
        <v>0.34</v>
      </c>
      <c r="E736" s="52">
        <v>0.34</v>
      </c>
      <c r="F736" s="52">
        <v>8.33</v>
      </c>
      <c r="G736" s="52">
        <v>39.95</v>
      </c>
      <c r="H736" s="52">
        <v>8.5</v>
      </c>
    </row>
    <row r="737" spans="1:8" ht="89.25" thickBot="1">
      <c r="A737" s="47"/>
      <c r="B737" s="24" t="s">
        <v>29</v>
      </c>
      <c r="C737" s="34">
        <f aca="true" t="shared" si="55" ref="C737:H737">C732+C733+C734+C735+C736</f>
        <v>520</v>
      </c>
      <c r="D737" s="52">
        <f t="shared" si="55"/>
        <v>14.790000000000001</v>
      </c>
      <c r="E737" s="52">
        <f t="shared" si="55"/>
        <v>16.02</v>
      </c>
      <c r="F737" s="52">
        <f t="shared" si="55"/>
        <v>37.03</v>
      </c>
      <c r="G737" s="52">
        <f t="shared" si="55"/>
        <v>364.75</v>
      </c>
      <c r="H737" s="52">
        <f t="shared" si="55"/>
        <v>15.21</v>
      </c>
    </row>
    <row r="738" spans="1:8" ht="89.25" thickBot="1">
      <c r="A738" s="47"/>
      <c r="B738" s="24"/>
      <c r="C738" s="51"/>
      <c r="D738" s="40" t="s">
        <v>0</v>
      </c>
      <c r="E738" s="41" t="s">
        <v>1</v>
      </c>
      <c r="F738" s="41" t="s">
        <v>2</v>
      </c>
      <c r="G738" s="149" t="s">
        <v>3</v>
      </c>
      <c r="H738" s="41" t="s">
        <v>4</v>
      </c>
    </row>
    <row r="739" spans="1:8" ht="89.25" thickBot="1">
      <c r="A739" s="47"/>
      <c r="B739" s="58" t="s">
        <v>10</v>
      </c>
      <c r="C739" s="51"/>
      <c r="D739" s="52">
        <f>D714+D717+D726+D730+D737</f>
        <v>67.2</v>
      </c>
      <c r="E739" s="52">
        <f>E714+E717+E726+E730+E737</f>
        <v>72.11</v>
      </c>
      <c r="F739" s="52">
        <f>F714+F717+F726+F730+F737</f>
        <v>258.91999999999996</v>
      </c>
      <c r="G739" s="52">
        <f>G714+G717+G726+G730+G737</f>
        <v>1944.79</v>
      </c>
      <c r="H739" s="52">
        <f>H714+H717+H726+H730+H737</f>
        <v>44.03</v>
      </c>
    </row>
    <row r="740" spans="1:8" ht="89.25" thickBot="1">
      <c r="A740" s="68"/>
      <c r="B740" s="69" t="s">
        <v>11</v>
      </c>
      <c r="C740" s="70"/>
      <c r="D740" s="52">
        <v>54</v>
      </c>
      <c r="E740" s="52">
        <v>60</v>
      </c>
      <c r="F740" s="52">
        <v>261</v>
      </c>
      <c r="G740" s="52">
        <v>1800</v>
      </c>
      <c r="H740" s="52">
        <v>50</v>
      </c>
    </row>
    <row r="741" spans="1:8" ht="263.25" thickBot="1">
      <c r="A741" s="42"/>
      <c r="B741" s="59" t="s">
        <v>12</v>
      </c>
      <c r="C741" s="41"/>
      <c r="D741" s="60">
        <f>D739*100/D740</f>
        <v>124.44444444444444</v>
      </c>
      <c r="E741" s="60">
        <f>E739*100/E740</f>
        <v>120.18333333333334</v>
      </c>
      <c r="F741" s="60">
        <f>F739*100/F740</f>
        <v>99.2030651340996</v>
      </c>
      <c r="G741" s="60">
        <f>G739*100/G740</f>
        <v>108.04388888888889</v>
      </c>
      <c r="H741" s="60">
        <f>H739*100/H740</f>
        <v>88.06</v>
      </c>
    </row>
    <row r="742" spans="1:8" ht="88.5">
      <c r="A742" s="61"/>
      <c r="B742" s="147"/>
      <c r="C742" s="146"/>
      <c r="D742" s="62"/>
      <c r="E742" s="62"/>
      <c r="F742" s="62"/>
      <c r="G742" s="62"/>
      <c r="H742" s="62"/>
    </row>
    <row r="743" spans="1:8" ht="88.5">
      <c r="A743" s="61"/>
      <c r="B743" s="38" t="s">
        <v>68</v>
      </c>
      <c r="C743" s="38"/>
      <c r="E743" s="62"/>
      <c r="F743" s="62"/>
      <c r="G743" s="62"/>
      <c r="H743" s="62"/>
    </row>
    <row r="744" spans="1:8" ht="102">
      <c r="A744" s="61"/>
      <c r="B744" s="38" t="s">
        <v>271</v>
      </c>
      <c r="H744" s="71"/>
    </row>
    <row r="745" spans="1:8" ht="88.5">
      <c r="A745" s="61"/>
      <c r="B745" s="38" t="s">
        <v>67</v>
      </c>
      <c r="H745" s="71"/>
    </row>
    <row r="746" spans="1:8" ht="88.5">
      <c r="A746" s="61"/>
      <c r="B746" s="38" t="s">
        <v>151</v>
      </c>
      <c r="H746" s="71"/>
    </row>
    <row r="747" spans="1:8" ht="88.5">
      <c r="A747" s="175" t="s">
        <v>194</v>
      </c>
      <c r="B747" s="175"/>
      <c r="C747" s="175"/>
      <c r="D747" s="175"/>
      <c r="E747" s="175"/>
      <c r="F747" s="175"/>
      <c r="G747" s="175"/>
      <c r="H747" s="175"/>
    </row>
    <row r="748" spans="1:8" ht="88.5">
      <c r="A748" s="175" t="s">
        <v>52</v>
      </c>
      <c r="B748" s="175"/>
      <c r="C748" s="175"/>
      <c r="D748" s="175"/>
      <c r="E748" s="175"/>
      <c r="F748" s="175"/>
      <c r="G748" s="175"/>
      <c r="H748" s="175"/>
    </row>
    <row r="749" spans="1:8" ht="88.5">
      <c r="A749" s="176" t="s">
        <v>49</v>
      </c>
      <c r="B749" s="176"/>
      <c r="C749" s="176"/>
      <c r="D749" s="176"/>
      <c r="E749" s="176"/>
      <c r="F749" s="176"/>
      <c r="G749" s="176"/>
      <c r="H749" s="176"/>
    </row>
    <row r="750" spans="1:8" ht="89.25" thickBot="1">
      <c r="A750" s="177"/>
      <c r="B750" s="177"/>
      <c r="C750" s="177"/>
      <c r="D750" s="177"/>
      <c r="E750" s="177"/>
      <c r="F750" s="177"/>
      <c r="G750" s="177"/>
      <c r="H750" s="177"/>
    </row>
    <row r="751" spans="1:8" ht="89.25" thickBot="1">
      <c r="A751" s="178" t="s">
        <v>30</v>
      </c>
      <c r="B751" s="180" t="s">
        <v>50</v>
      </c>
      <c r="C751" s="183" t="s">
        <v>111</v>
      </c>
      <c r="D751" s="172" t="s">
        <v>24</v>
      </c>
      <c r="E751" s="173"/>
      <c r="F751" s="174"/>
      <c r="G751" s="180" t="s">
        <v>51</v>
      </c>
      <c r="H751" s="180" t="s">
        <v>112</v>
      </c>
    </row>
    <row r="752" spans="1:8" ht="89.25" thickBot="1">
      <c r="A752" s="179"/>
      <c r="B752" s="181"/>
      <c r="C752" s="184"/>
      <c r="D752" s="40" t="s">
        <v>0</v>
      </c>
      <c r="E752" s="41" t="s">
        <v>1</v>
      </c>
      <c r="F752" s="41" t="s">
        <v>2</v>
      </c>
      <c r="G752" s="181"/>
      <c r="H752" s="181"/>
    </row>
    <row r="753" spans="1:8" ht="89.25" thickBot="1">
      <c r="A753" s="148">
        <v>1</v>
      </c>
      <c r="B753" s="43">
        <v>2</v>
      </c>
      <c r="C753" s="44">
        <v>3</v>
      </c>
      <c r="D753" s="63">
        <v>4</v>
      </c>
      <c r="E753" s="43">
        <v>5</v>
      </c>
      <c r="F753" s="43">
        <v>6</v>
      </c>
      <c r="G753" s="43">
        <v>7</v>
      </c>
      <c r="H753" s="43">
        <v>8</v>
      </c>
    </row>
    <row r="754" spans="1:8" ht="89.25" thickBot="1">
      <c r="A754" s="172" t="s">
        <v>5</v>
      </c>
      <c r="B754" s="173"/>
      <c r="C754" s="173"/>
      <c r="D754" s="173"/>
      <c r="E754" s="173"/>
      <c r="F754" s="173"/>
      <c r="G754" s="173"/>
      <c r="H754" s="174"/>
    </row>
    <row r="755" spans="1:8" ht="89.25" thickBot="1">
      <c r="A755" s="47">
        <v>14</v>
      </c>
      <c r="B755" s="26" t="s">
        <v>176</v>
      </c>
      <c r="C755" s="34">
        <v>180</v>
      </c>
      <c r="D755" s="52">
        <v>6.44</v>
      </c>
      <c r="E755" s="52">
        <v>6.43</v>
      </c>
      <c r="F755" s="52">
        <v>30.62</v>
      </c>
      <c r="G755" s="60">
        <v>205</v>
      </c>
      <c r="H755" s="60">
        <v>1.77</v>
      </c>
    </row>
    <row r="756" spans="1:8" ht="177.75" thickBot="1">
      <c r="A756" s="47">
        <v>2</v>
      </c>
      <c r="B756" s="24" t="s">
        <v>69</v>
      </c>
      <c r="C756" s="34">
        <v>200</v>
      </c>
      <c r="D756" s="48">
        <v>3.28</v>
      </c>
      <c r="E756" s="48">
        <v>3.44</v>
      </c>
      <c r="F756" s="48">
        <v>15.92</v>
      </c>
      <c r="G756" s="48">
        <v>105</v>
      </c>
      <c r="H756" s="48">
        <v>1.3</v>
      </c>
    </row>
    <row r="757" spans="1:8" ht="177.75" thickBot="1">
      <c r="A757" s="47">
        <v>3</v>
      </c>
      <c r="B757" s="24" t="s">
        <v>38</v>
      </c>
      <c r="C757" s="51" t="s">
        <v>260</v>
      </c>
      <c r="D757" s="52">
        <v>4.72</v>
      </c>
      <c r="E757" s="52">
        <v>7.31</v>
      </c>
      <c r="F757" s="52">
        <v>12.36</v>
      </c>
      <c r="G757" s="52">
        <v>135</v>
      </c>
      <c r="H757" s="52">
        <v>0.08</v>
      </c>
    </row>
    <row r="758" spans="1:8" ht="89.25" thickBot="1">
      <c r="A758" s="47"/>
      <c r="B758" s="24" t="s">
        <v>6</v>
      </c>
      <c r="C758" s="35">
        <f aca="true" t="shared" si="56" ref="C758:H758">C755+C756+C757</f>
        <v>422</v>
      </c>
      <c r="D758" s="52">
        <f t="shared" si="56"/>
        <v>14.440000000000001</v>
      </c>
      <c r="E758" s="52">
        <f t="shared" si="56"/>
        <v>17.18</v>
      </c>
      <c r="F758" s="52">
        <f t="shared" si="56"/>
        <v>58.9</v>
      </c>
      <c r="G758" s="52">
        <f t="shared" si="56"/>
        <v>445</v>
      </c>
      <c r="H758" s="52">
        <f t="shared" si="56"/>
        <v>3.1500000000000004</v>
      </c>
    </row>
    <row r="759" spans="1:8" ht="89.25" thickBot="1">
      <c r="A759" s="172" t="s">
        <v>53</v>
      </c>
      <c r="B759" s="173"/>
      <c r="C759" s="173"/>
      <c r="D759" s="173"/>
      <c r="E759" s="173"/>
      <c r="F759" s="173"/>
      <c r="G759" s="173"/>
      <c r="H759" s="174"/>
    </row>
    <row r="760" spans="1:8" ht="89.25" thickBot="1">
      <c r="A760" s="47" t="s">
        <v>32</v>
      </c>
      <c r="B760" s="24" t="s">
        <v>182</v>
      </c>
      <c r="C760" s="53" t="s">
        <v>27</v>
      </c>
      <c r="D760" s="52">
        <v>0.3</v>
      </c>
      <c r="E760" s="52">
        <v>0.17</v>
      </c>
      <c r="F760" s="52">
        <v>15.17</v>
      </c>
      <c r="G760" s="52">
        <v>69</v>
      </c>
      <c r="H760" s="52">
        <v>3</v>
      </c>
    </row>
    <row r="761" spans="1:8" ht="89.25" thickBot="1">
      <c r="A761" s="47"/>
      <c r="B761" s="24" t="s">
        <v>6</v>
      </c>
      <c r="C761" s="51" t="s">
        <v>27</v>
      </c>
      <c r="D761" s="52">
        <f>SUM(D760)</f>
        <v>0.3</v>
      </c>
      <c r="E761" s="52">
        <f>SUM(E760)</f>
        <v>0.17</v>
      </c>
      <c r="F761" s="52">
        <f>SUM(F760)</f>
        <v>15.17</v>
      </c>
      <c r="G761" s="52">
        <f>SUM(G760)</f>
        <v>69</v>
      </c>
      <c r="H761" s="52">
        <f>SUM(H760)</f>
        <v>3</v>
      </c>
    </row>
    <row r="762" spans="1:8" ht="89.25" thickBot="1">
      <c r="A762" s="172" t="s">
        <v>8</v>
      </c>
      <c r="B762" s="173"/>
      <c r="C762" s="173"/>
      <c r="D762" s="173"/>
      <c r="E762" s="173"/>
      <c r="F762" s="173"/>
      <c r="G762" s="173"/>
      <c r="H762" s="174"/>
    </row>
    <row r="763" spans="1:8" ht="266.25" thickBot="1">
      <c r="A763" s="54">
        <v>38</v>
      </c>
      <c r="B763" s="24" t="s">
        <v>268</v>
      </c>
      <c r="C763" s="34">
        <v>40</v>
      </c>
      <c r="D763" s="52">
        <v>1.75</v>
      </c>
      <c r="E763" s="52">
        <v>0.08</v>
      </c>
      <c r="F763" s="52">
        <v>3.33</v>
      </c>
      <c r="G763" s="52">
        <v>22</v>
      </c>
      <c r="H763" s="52">
        <v>4</v>
      </c>
    </row>
    <row r="764" spans="1:8" ht="266.25" thickBot="1">
      <c r="A764" s="47">
        <v>34</v>
      </c>
      <c r="B764" s="24" t="s">
        <v>177</v>
      </c>
      <c r="C764" s="51" t="s">
        <v>25</v>
      </c>
      <c r="D764" s="52">
        <v>3.38</v>
      </c>
      <c r="E764" s="52">
        <v>5.2</v>
      </c>
      <c r="F764" s="52">
        <v>11.03</v>
      </c>
      <c r="G764" s="52">
        <v>116.11</v>
      </c>
      <c r="H764" s="52">
        <v>7.97</v>
      </c>
    </row>
    <row r="765" spans="1:8" ht="177.75" thickBot="1">
      <c r="A765" s="54">
        <v>33</v>
      </c>
      <c r="B765" s="24" t="s">
        <v>245</v>
      </c>
      <c r="C765" s="51" t="s">
        <v>59</v>
      </c>
      <c r="D765" s="52">
        <v>11.22</v>
      </c>
      <c r="E765" s="52">
        <v>9.36</v>
      </c>
      <c r="F765" s="52">
        <v>6.89</v>
      </c>
      <c r="G765" s="52">
        <v>166</v>
      </c>
      <c r="H765" s="52">
        <v>0.36</v>
      </c>
    </row>
    <row r="766" spans="1:8" ht="89.25" thickBot="1">
      <c r="A766" s="47">
        <v>7</v>
      </c>
      <c r="B766" s="65" t="s">
        <v>66</v>
      </c>
      <c r="C766" s="34">
        <v>40</v>
      </c>
      <c r="D766" s="52">
        <v>0.56</v>
      </c>
      <c r="E766" s="52">
        <v>1.56</v>
      </c>
      <c r="F766" s="52">
        <v>2.48</v>
      </c>
      <c r="G766" s="52">
        <v>24.8</v>
      </c>
      <c r="H766" s="52">
        <v>0</v>
      </c>
    </row>
    <row r="767" spans="1:8" ht="89.25" thickBot="1">
      <c r="A767" s="47">
        <v>65</v>
      </c>
      <c r="B767" s="24" t="s">
        <v>231</v>
      </c>
      <c r="C767" s="34">
        <v>160</v>
      </c>
      <c r="D767" s="52">
        <v>4.8</v>
      </c>
      <c r="E767" s="52">
        <v>6.83</v>
      </c>
      <c r="F767" s="52">
        <v>23.36</v>
      </c>
      <c r="G767" s="52">
        <v>280.53</v>
      </c>
      <c r="H767" s="52">
        <v>0</v>
      </c>
    </row>
    <row r="768" spans="1:8" ht="89.25" thickBot="1">
      <c r="A768" s="35">
        <v>66</v>
      </c>
      <c r="B768" s="56" t="s">
        <v>146</v>
      </c>
      <c r="C768" s="51" t="s">
        <v>25</v>
      </c>
      <c r="D768" s="48">
        <v>0.68</v>
      </c>
      <c r="E768" s="48">
        <v>0.28</v>
      </c>
      <c r="F768" s="48">
        <v>22.63</v>
      </c>
      <c r="G768" s="48">
        <v>109</v>
      </c>
      <c r="H768" s="48">
        <v>200</v>
      </c>
    </row>
    <row r="769" spans="1:8" ht="177.75" thickBot="1">
      <c r="A769" s="47" t="s">
        <v>32</v>
      </c>
      <c r="B769" s="24" t="s">
        <v>56</v>
      </c>
      <c r="C769" s="34">
        <v>25</v>
      </c>
      <c r="D769" s="52">
        <v>2</v>
      </c>
      <c r="E769" s="52">
        <v>0.25</v>
      </c>
      <c r="F769" s="52">
        <v>12.05</v>
      </c>
      <c r="G769" s="52">
        <v>59</v>
      </c>
      <c r="H769" s="52">
        <v>0</v>
      </c>
    </row>
    <row r="770" spans="1:8" ht="177.75" thickBot="1">
      <c r="A770" s="47" t="s">
        <v>32</v>
      </c>
      <c r="B770" s="24" t="s">
        <v>58</v>
      </c>
      <c r="C770" s="34">
        <v>50</v>
      </c>
      <c r="D770" s="52">
        <v>2.8</v>
      </c>
      <c r="E770" s="52">
        <v>0.6</v>
      </c>
      <c r="F770" s="52">
        <v>24.7</v>
      </c>
      <c r="G770" s="52">
        <v>116</v>
      </c>
      <c r="H770" s="52">
        <v>0</v>
      </c>
    </row>
    <row r="771" spans="1:8" ht="89.25" thickBot="1">
      <c r="A771" s="54"/>
      <c r="B771" s="26" t="s">
        <v>29</v>
      </c>
      <c r="C771" s="34">
        <f aca="true" t="shared" si="57" ref="C771:H771">C763+C764+C765+C766+C767+C768+C769+C770</f>
        <v>785</v>
      </c>
      <c r="D771" s="48">
        <f t="shared" si="57"/>
        <v>27.19</v>
      </c>
      <c r="E771" s="48">
        <f t="shared" si="57"/>
        <v>24.160000000000004</v>
      </c>
      <c r="F771" s="48">
        <f t="shared" si="57"/>
        <v>106.47</v>
      </c>
      <c r="G771" s="48">
        <f t="shared" si="57"/>
        <v>893.44</v>
      </c>
      <c r="H771" s="48">
        <f t="shared" si="57"/>
        <v>212.32999999999998</v>
      </c>
    </row>
    <row r="772" spans="1:8" ht="89.25" thickBot="1">
      <c r="A772" s="172" t="s">
        <v>145</v>
      </c>
      <c r="B772" s="173"/>
      <c r="C772" s="173"/>
      <c r="D772" s="173"/>
      <c r="E772" s="173"/>
      <c r="F772" s="173"/>
      <c r="G772" s="173"/>
      <c r="H772" s="174"/>
    </row>
    <row r="773" spans="1:8" ht="266.25" thickBot="1">
      <c r="A773" s="55">
        <v>21.1</v>
      </c>
      <c r="B773" s="56" t="s">
        <v>172</v>
      </c>
      <c r="C773" s="51" t="s">
        <v>115</v>
      </c>
      <c r="D773" s="48">
        <v>5.22</v>
      </c>
      <c r="E773" s="48">
        <v>5.76</v>
      </c>
      <c r="F773" s="48">
        <v>7.2</v>
      </c>
      <c r="G773" s="48">
        <v>106.2</v>
      </c>
      <c r="H773" s="48">
        <v>1.26</v>
      </c>
    </row>
    <row r="774" spans="1:8" ht="177.75" thickBot="1">
      <c r="A774" s="47">
        <v>55</v>
      </c>
      <c r="B774" s="24" t="s">
        <v>248</v>
      </c>
      <c r="C774" s="51" t="s">
        <v>34</v>
      </c>
      <c r="D774" s="52">
        <v>9.7</v>
      </c>
      <c r="E774" s="52">
        <v>6.44</v>
      </c>
      <c r="F774" s="52">
        <v>17.46</v>
      </c>
      <c r="G774" s="52">
        <v>170</v>
      </c>
      <c r="H774" s="52">
        <v>0.16</v>
      </c>
    </row>
    <row r="775" spans="1:8" ht="89.25" thickBot="1">
      <c r="A775" s="54"/>
      <c r="B775" s="24" t="s">
        <v>29</v>
      </c>
      <c r="C775" s="34">
        <f aca="true" t="shared" si="58" ref="C775:H775">C773+C774</f>
        <v>240</v>
      </c>
      <c r="D775" s="52">
        <f t="shared" si="58"/>
        <v>14.919999999999998</v>
      </c>
      <c r="E775" s="52">
        <f t="shared" si="58"/>
        <v>12.2</v>
      </c>
      <c r="F775" s="52">
        <f t="shared" si="58"/>
        <v>24.66</v>
      </c>
      <c r="G775" s="52">
        <f t="shared" si="58"/>
        <v>276.2</v>
      </c>
      <c r="H775" s="52">
        <f t="shared" si="58"/>
        <v>1.42</v>
      </c>
    </row>
    <row r="776" spans="1:8" ht="89.25" thickBot="1">
      <c r="A776" s="172" t="s">
        <v>144</v>
      </c>
      <c r="B776" s="173"/>
      <c r="C776" s="173"/>
      <c r="D776" s="173"/>
      <c r="E776" s="173"/>
      <c r="F776" s="173"/>
      <c r="G776" s="173"/>
      <c r="H776" s="174"/>
    </row>
    <row r="777" spans="1:8" ht="177.75" thickBot="1">
      <c r="A777" s="54">
        <v>71</v>
      </c>
      <c r="B777" s="26" t="s">
        <v>261</v>
      </c>
      <c r="C777" s="34">
        <v>120</v>
      </c>
      <c r="D777" s="48">
        <v>13.15</v>
      </c>
      <c r="E777" s="48">
        <v>2.82</v>
      </c>
      <c r="F777" s="48">
        <v>4.23</v>
      </c>
      <c r="G777" s="48">
        <v>94</v>
      </c>
      <c r="H777" s="48">
        <v>1.51</v>
      </c>
    </row>
    <row r="778" spans="1:8" ht="89.25" thickBot="1">
      <c r="A778" s="54">
        <v>79</v>
      </c>
      <c r="B778" s="24" t="s">
        <v>262</v>
      </c>
      <c r="C778" s="34">
        <v>130</v>
      </c>
      <c r="D778" s="52">
        <v>2.5</v>
      </c>
      <c r="E778" s="52">
        <v>5.77</v>
      </c>
      <c r="F778" s="52">
        <v>17.47</v>
      </c>
      <c r="G778" s="52">
        <v>131.71</v>
      </c>
      <c r="H778" s="52">
        <v>10.4</v>
      </c>
    </row>
    <row r="779" spans="1:8" ht="177.75" thickBot="1">
      <c r="A779" s="47" t="s">
        <v>32</v>
      </c>
      <c r="B779" s="24" t="s">
        <v>56</v>
      </c>
      <c r="C779" s="34">
        <v>25</v>
      </c>
      <c r="D779" s="52">
        <v>2</v>
      </c>
      <c r="E779" s="52">
        <v>0.25</v>
      </c>
      <c r="F779" s="52">
        <v>12.05</v>
      </c>
      <c r="G779" s="52">
        <v>59</v>
      </c>
      <c r="H779" s="52">
        <v>0</v>
      </c>
    </row>
    <row r="780" spans="1:8" ht="177.75" thickBot="1">
      <c r="A780" s="47">
        <v>69</v>
      </c>
      <c r="B780" s="24" t="s">
        <v>106</v>
      </c>
      <c r="C780" s="51" t="s">
        <v>253</v>
      </c>
      <c r="D780" s="52">
        <v>0.34</v>
      </c>
      <c r="E780" s="52">
        <v>0.34</v>
      </c>
      <c r="F780" s="52">
        <v>8.33</v>
      </c>
      <c r="G780" s="52">
        <v>39.95</v>
      </c>
      <c r="H780" s="52">
        <v>8.5</v>
      </c>
    </row>
    <row r="781" spans="1:8" ht="89.25" thickBot="1">
      <c r="A781" s="49">
        <v>31</v>
      </c>
      <c r="B781" s="50" t="s">
        <v>9</v>
      </c>
      <c r="C781" s="34">
        <v>200</v>
      </c>
      <c r="D781" s="48">
        <v>0.04</v>
      </c>
      <c r="E781" s="48">
        <v>0</v>
      </c>
      <c r="F781" s="48">
        <v>12.13</v>
      </c>
      <c r="G781" s="48">
        <v>47</v>
      </c>
      <c r="H781" s="48">
        <v>2</v>
      </c>
    </row>
    <row r="782" spans="1:8" ht="89.25" thickBot="1">
      <c r="A782" s="42"/>
      <c r="B782" s="24" t="s">
        <v>6</v>
      </c>
      <c r="C782" s="34">
        <f aca="true" t="shared" si="59" ref="C782:H782">C777+C778+C779+C780+C781</f>
        <v>560</v>
      </c>
      <c r="D782" s="52">
        <f t="shared" si="59"/>
        <v>18.029999999999998</v>
      </c>
      <c r="E782" s="52">
        <f t="shared" si="59"/>
        <v>9.18</v>
      </c>
      <c r="F782" s="52">
        <f t="shared" si="59"/>
        <v>54.21</v>
      </c>
      <c r="G782" s="52">
        <f t="shared" si="59"/>
        <v>371.66</v>
      </c>
      <c r="H782" s="52">
        <f t="shared" si="59"/>
        <v>22.41</v>
      </c>
    </row>
    <row r="783" spans="1:8" ht="89.25" thickBot="1">
      <c r="A783" s="47"/>
      <c r="B783" s="24"/>
      <c r="C783" s="51"/>
      <c r="D783" s="40" t="s">
        <v>0</v>
      </c>
      <c r="E783" s="41" t="s">
        <v>1</v>
      </c>
      <c r="F783" s="41" t="s">
        <v>2</v>
      </c>
      <c r="G783" s="149" t="s">
        <v>3</v>
      </c>
      <c r="H783" s="41" t="s">
        <v>4</v>
      </c>
    </row>
    <row r="784" spans="1:8" ht="89.25" thickBot="1">
      <c r="A784" s="47"/>
      <c r="B784" s="58" t="s">
        <v>10</v>
      </c>
      <c r="C784" s="51"/>
      <c r="D784" s="52">
        <f>D758+D761+D771+D775+D782</f>
        <v>74.88000000000001</v>
      </c>
      <c r="E784" s="52">
        <f>E758+E761+E771+E775+E782</f>
        <v>62.89000000000001</v>
      </c>
      <c r="F784" s="52">
        <f>F758+F761+F771+F775+F782</f>
        <v>259.40999999999997</v>
      </c>
      <c r="G784" s="52">
        <f>G758+G761+G771+G775+G782</f>
        <v>2055.3</v>
      </c>
      <c r="H784" s="52">
        <f>H758+H761+H771+H775+H782</f>
        <v>242.30999999999997</v>
      </c>
    </row>
    <row r="785" spans="1:8" ht="89.25" thickBot="1">
      <c r="A785" s="47"/>
      <c r="B785" s="58" t="s">
        <v>11</v>
      </c>
      <c r="C785" s="51"/>
      <c r="D785" s="52">
        <v>54</v>
      </c>
      <c r="E785" s="52">
        <v>60</v>
      </c>
      <c r="F785" s="52">
        <v>261</v>
      </c>
      <c r="G785" s="52">
        <v>1800</v>
      </c>
      <c r="H785" s="52">
        <v>50</v>
      </c>
    </row>
    <row r="786" spans="1:8" ht="263.25" thickBot="1">
      <c r="A786" s="42"/>
      <c r="B786" s="59" t="s">
        <v>12</v>
      </c>
      <c r="C786" s="41"/>
      <c r="D786" s="60">
        <f>D784*100/D785</f>
        <v>138.66666666666669</v>
      </c>
      <c r="E786" s="60">
        <f>E784*100/E785</f>
        <v>104.81666666666668</v>
      </c>
      <c r="F786" s="60">
        <f>F784*100/F785</f>
        <v>99.39080459770113</v>
      </c>
      <c r="G786" s="60">
        <f>G784*100/G785</f>
        <v>114.18333333333335</v>
      </c>
      <c r="H786" s="60">
        <f>H784*100/H785</f>
        <v>484.61999999999995</v>
      </c>
    </row>
    <row r="787" spans="1:8" ht="88.5">
      <c r="A787" s="61"/>
      <c r="B787" s="147"/>
      <c r="C787" s="146"/>
      <c r="D787" s="62"/>
      <c r="E787" s="62"/>
      <c r="F787" s="62"/>
      <c r="G787" s="62"/>
      <c r="H787" s="62"/>
    </row>
    <row r="788" spans="1:8" ht="88.5">
      <c r="A788" s="61"/>
      <c r="B788" s="38" t="s">
        <v>68</v>
      </c>
      <c r="C788" s="38"/>
      <c r="E788" s="62"/>
      <c r="F788" s="62"/>
      <c r="G788" s="62"/>
      <c r="H788" s="62"/>
    </row>
    <row r="789" spans="1:2" ht="102">
      <c r="A789" s="61"/>
      <c r="B789" s="38" t="s">
        <v>271</v>
      </c>
    </row>
    <row r="790" spans="1:2" ht="88.5">
      <c r="A790" s="61"/>
      <c r="B790" s="38" t="s">
        <v>67</v>
      </c>
    </row>
    <row r="791" spans="1:2" ht="88.5">
      <c r="A791" s="61"/>
      <c r="B791" s="38" t="s">
        <v>151</v>
      </c>
    </row>
    <row r="792" spans="1:8" ht="88.5">
      <c r="A792" s="175" t="s">
        <v>202</v>
      </c>
      <c r="B792" s="175"/>
      <c r="C792" s="175"/>
      <c r="D792" s="175"/>
      <c r="E792" s="175"/>
      <c r="F792" s="175"/>
      <c r="G792" s="175"/>
      <c r="H792" s="175"/>
    </row>
    <row r="793" spans="1:8" ht="88.5">
      <c r="A793" s="175" t="s">
        <v>52</v>
      </c>
      <c r="B793" s="175"/>
      <c r="C793" s="175"/>
      <c r="D793" s="175"/>
      <c r="E793" s="175"/>
      <c r="F793" s="175"/>
      <c r="G793" s="175"/>
      <c r="H793" s="175"/>
    </row>
    <row r="794" spans="1:8" ht="88.5">
      <c r="A794" s="176" t="s">
        <v>49</v>
      </c>
      <c r="B794" s="176"/>
      <c r="C794" s="176"/>
      <c r="D794" s="176"/>
      <c r="E794" s="176"/>
      <c r="F794" s="176"/>
      <c r="G794" s="176"/>
      <c r="H794" s="176"/>
    </row>
    <row r="795" spans="1:8" ht="89.25" thickBot="1">
      <c r="A795" s="177"/>
      <c r="B795" s="177"/>
      <c r="C795" s="177"/>
      <c r="D795" s="177"/>
      <c r="E795" s="177"/>
      <c r="F795" s="177"/>
      <c r="G795" s="177"/>
      <c r="H795" s="177"/>
    </row>
    <row r="796" spans="1:8" ht="89.25" thickBot="1">
      <c r="A796" s="178" t="s">
        <v>30</v>
      </c>
      <c r="B796" s="180" t="s">
        <v>50</v>
      </c>
      <c r="C796" s="183" t="s">
        <v>111</v>
      </c>
      <c r="D796" s="172" t="s">
        <v>24</v>
      </c>
      <c r="E796" s="173"/>
      <c r="F796" s="174"/>
      <c r="G796" s="180" t="s">
        <v>51</v>
      </c>
      <c r="H796" s="180" t="s">
        <v>112</v>
      </c>
    </row>
    <row r="797" spans="1:8" ht="89.25" thickBot="1">
      <c r="A797" s="179"/>
      <c r="B797" s="181"/>
      <c r="C797" s="184"/>
      <c r="D797" s="40" t="s">
        <v>0</v>
      </c>
      <c r="E797" s="41" t="s">
        <v>1</v>
      </c>
      <c r="F797" s="41" t="s">
        <v>2</v>
      </c>
      <c r="G797" s="181"/>
      <c r="H797" s="181"/>
    </row>
    <row r="798" spans="1:8" ht="89.25" thickBot="1">
      <c r="A798" s="148">
        <v>1</v>
      </c>
      <c r="B798" s="43">
        <v>2</v>
      </c>
      <c r="C798" s="44">
        <v>3</v>
      </c>
      <c r="D798" s="63">
        <v>4</v>
      </c>
      <c r="E798" s="43">
        <v>5</v>
      </c>
      <c r="F798" s="43">
        <v>6</v>
      </c>
      <c r="G798" s="43">
        <v>7</v>
      </c>
      <c r="H798" s="43">
        <v>8</v>
      </c>
    </row>
    <row r="799" spans="1:8" ht="89.25" thickBot="1">
      <c r="A799" s="172" t="s">
        <v>5</v>
      </c>
      <c r="B799" s="173"/>
      <c r="C799" s="173"/>
      <c r="D799" s="173"/>
      <c r="E799" s="173"/>
      <c r="F799" s="173"/>
      <c r="G799" s="173"/>
      <c r="H799" s="174"/>
    </row>
    <row r="800" spans="1:8" ht="177.75" thickBot="1">
      <c r="A800" s="64">
        <v>68</v>
      </c>
      <c r="B800" s="65" t="s">
        <v>220</v>
      </c>
      <c r="C800" s="66">
        <v>180</v>
      </c>
      <c r="D800" s="67">
        <v>6.27</v>
      </c>
      <c r="E800" s="67">
        <v>6.03</v>
      </c>
      <c r="F800" s="67">
        <v>26.84</v>
      </c>
      <c r="G800" s="67">
        <v>185</v>
      </c>
      <c r="H800" s="67">
        <v>1.75</v>
      </c>
    </row>
    <row r="801" spans="1:8" ht="177.75" thickBot="1">
      <c r="A801" s="47">
        <v>2</v>
      </c>
      <c r="B801" s="24" t="s">
        <v>69</v>
      </c>
      <c r="C801" s="34">
        <v>200</v>
      </c>
      <c r="D801" s="48">
        <v>3.28</v>
      </c>
      <c r="E801" s="48">
        <v>3.44</v>
      </c>
      <c r="F801" s="48">
        <v>15.92</v>
      </c>
      <c r="G801" s="48">
        <v>105</v>
      </c>
      <c r="H801" s="48">
        <v>1.3</v>
      </c>
    </row>
    <row r="802" spans="1:8" ht="89.25" thickBot="1">
      <c r="A802" s="47">
        <v>86</v>
      </c>
      <c r="B802" s="24" t="s">
        <v>206</v>
      </c>
      <c r="C802" s="51" t="s">
        <v>102</v>
      </c>
      <c r="D802" s="52">
        <v>1.95</v>
      </c>
      <c r="E802" s="52">
        <v>0.2</v>
      </c>
      <c r="F802" s="52">
        <v>19.18</v>
      </c>
      <c r="G802" s="52">
        <v>85</v>
      </c>
      <c r="H802" s="52">
        <v>0.02</v>
      </c>
    </row>
    <row r="803" spans="1:8" ht="89.25" thickBot="1">
      <c r="A803" s="47"/>
      <c r="B803" s="24" t="s">
        <v>6</v>
      </c>
      <c r="C803" s="34">
        <f aca="true" t="shared" si="60" ref="C803:H803">C800+C801+C802</f>
        <v>415</v>
      </c>
      <c r="D803" s="52">
        <f t="shared" si="60"/>
        <v>11.499999999999998</v>
      </c>
      <c r="E803" s="52">
        <f t="shared" si="60"/>
        <v>9.67</v>
      </c>
      <c r="F803" s="52">
        <f t="shared" si="60"/>
        <v>61.94</v>
      </c>
      <c r="G803" s="52">
        <f t="shared" si="60"/>
        <v>375</v>
      </c>
      <c r="H803" s="52">
        <f t="shared" si="60"/>
        <v>3.07</v>
      </c>
    </row>
    <row r="804" spans="1:8" ht="89.25" thickBot="1">
      <c r="A804" s="172" t="s">
        <v>53</v>
      </c>
      <c r="B804" s="173"/>
      <c r="C804" s="173"/>
      <c r="D804" s="173"/>
      <c r="E804" s="173"/>
      <c r="F804" s="173"/>
      <c r="G804" s="173"/>
      <c r="H804" s="174"/>
    </row>
    <row r="805" spans="1:8" ht="89.25" thickBot="1">
      <c r="A805" s="47" t="s">
        <v>32</v>
      </c>
      <c r="B805" s="24" t="s">
        <v>182</v>
      </c>
      <c r="C805" s="53" t="s">
        <v>27</v>
      </c>
      <c r="D805" s="52">
        <v>0.3</v>
      </c>
      <c r="E805" s="52">
        <v>0.17</v>
      </c>
      <c r="F805" s="52">
        <v>15.17</v>
      </c>
      <c r="G805" s="52">
        <v>69</v>
      </c>
      <c r="H805" s="52">
        <v>3</v>
      </c>
    </row>
    <row r="806" spans="1:8" ht="89.25" thickBot="1">
      <c r="A806" s="47"/>
      <c r="B806" s="24" t="s">
        <v>6</v>
      </c>
      <c r="C806" s="51" t="s">
        <v>27</v>
      </c>
      <c r="D806" s="52">
        <f>SUM(D805)</f>
        <v>0.3</v>
      </c>
      <c r="E806" s="52">
        <f>SUM(E805)</f>
        <v>0.17</v>
      </c>
      <c r="F806" s="52">
        <f>SUM(F805)</f>
        <v>15.17</v>
      </c>
      <c r="G806" s="52">
        <f>SUM(G805)</f>
        <v>69</v>
      </c>
      <c r="H806" s="52">
        <f>SUM(H805)</f>
        <v>3</v>
      </c>
    </row>
    <row r="807" spans="1:8" ht="89.25" thickBot="1">
      <c r="A807" s="185" t="s">
        <v>31</v>
      </c>
      <c r="B807" s="186"/>
      <c r="C807" s="186"/>
      <c r="D807" s="186"/>
      <c r="E807" s="186"/>
      <c r="F807" s="186"/>
      <c r="G807" s="186"/>
      <c r="H807" s="187"/>
    </row>
    <row r="808" spans="1:8" ht="89.25" thickBot="1">
      <c r="A808" s="54">
        <v>51</v>
      </c>
      <c r="B808" s="24" t="s">
        <v>226</v>
      </c>
      <c r="C808" s="53" t="s">
        <v>34</v>
      </c>
      <c r="D808" s="52">
        <v>0.93</v>
      </c>
      <c r="E808" s="52">
        <v>4.88</v>
      </c>
      <c r="F808" s="52">
        <v>5.53</v>
      </c>
      <c r="G808" s="52">
        <v>70</v>
      </c>
      <c r="H808" s="52">
        <v>2.2</v>
      </c>
    </row>
    <row r="809" spans="1:8" ht="177.75" thickBot="1">
      <c r="A809" s="47">
        <v>92</v>
      </c>
      <c r="B809" s="24" t="s">
        <v>238</v>
      </c>
      <c r="C809" s="51" t="s">
        <v>25</v>
      </c>
      <c r="D809" s="52">
        <v>10.15</v>
      </c>
      <c r="E809" s="52">
        <v>6.87</v>
      </c>
      <c r="F809" s="52">
        <v>14.93</v>
      </c>
      <c r="G809" s="52">
        <v>180</v>
      </c>
      <c r="H809" s="52">
        <v>10.65</v>
      </c>
    </row>
    <row r="810" spans="1:8" ht="177.75" thickBot="1">
      <c r="A810" s="47">
        <v>81</v>
      </c>
      <c r="B810" s="24" t="s">
        <v>209</v>
      </c>
      <c r="C810" s="34">
        <v>220</v>
      </c>
      <c r="D810" s="52">
        <v>3.36</v>
      </c>
      <c r="E810" s="52">
        <v>7.06</v>
      </c>
      <c r="F810" s="52">
        <v>13.73</v>
      </c>
      <c r="G810" s="52">
        <v>139.92</v>
      </c>
      <c r="H810" s="52">
        <v>17.88</v>
      </c>
    </row>
    <row r="811" spans="1:8" ht="266.25" thickBot="1">
      <c r="A811" s="47">
        <v>20</v>
      </c>
      <c r="B811" s="24" t="s">
        <v>232</v>
      </c>
      <c r="C811" s="53" t="s">
        <v>25</v>
      </c>
      <c r="D811" s="52">
        <v>0</v>
      </c>
      <c r="E811" s="52">
        <v>0</v>
      </c>
      <c r="F811" s="52">
        <v>32.44</v>
      </c>
      <c r="G811" s="52">
        <v>125</v>
      </c>
      <c r="H811" s="52">
        <v>0</v>
      </c>
    </row>
    <row r="812" spans="1:8" ht="177.75" thickBot="1">
      <c r="A812" s="47" t="s">
        <v>32</v>
      </c>
      <c r="B812" s="24" t="s">
        <v>56</v>
      </c>
      <c r="C812" s="34">
        <v>25</v>
      </c>
      <c r="D812" s="52">
        <v>2</v>
      </c>
      <c r="E812" s="52">
        <v>0.25</v>
      </c>
      <c r="F812" s="52">
        <v>12.05</v>
      </c>
      <c r="G812" s="52">
        <v>59</v>
      </c>
      <c r="H812" s="52">
        <v>0</v>
      </c>
    </row>
    <row r="813" spans="1:8" ht="177.75" thickBot="1">
      <c r="A813" s="47" t="s">
        <v>32</v>
      </c>
      <c r="B813" s="24" t="s">
        <v>58</v>
      </c>
      <c r="C813" s="34">
        <v>50</v>
      </c>
      <c r="D813" s="52">
        <v>2.8</v>
      </c>
      <c r="E813" s="52">
        <v>0.6</v>
      </c>
      <c r="F813" s="52">
        <v>24.7</v>
      </c>
      <c r="G813" s="52">
        <v>116</v>
      </c>
      <c r="H813" s="52">
        <v>0</v>
      </c>
    </row>
    <row r="814" spans="1:8" ht="89.25" thickBot="1">
      <c r="A814" s="47"/>
      <c r="B814" s="24" t="s">
        <v>6</v>
      </c>
      <c r="C814" s="34">
        <f aca="true" t="shared" si="61" ref="C814:H814">C808+C809+C810+C811+C812+C813</f>
        <v>755</v>
      </c>
      <c r="D814" s="52">
        <f t="shared" si="61"/>
        <v>19.24</v>
      </c>
      <c r="E814" s="52">
        <f t="shared" si="61"/>
        <v>19.66</v>
      </c>
      <c r="F814" s="52">
        <f t="shared" si="61"/>
        <v>103.38</v>
      </c>
      <c r="G814" s="52">
        <f t="shared" si="61"/>
        <v>689.92</v>
      </c>
      <c r="H814" s="52">
        <f t="shared" si="61"/>
        <v>30.73</v>
      </c>
    </row>
    <row r="815" spans="1:8" ht="89.25" thickBot="1">
      <c r="A815" s="172" t="s">
        <v>145</v>
      </c>
      <c r="B815" s="173"/>
      <c r="C815" s="173"/>
      <c r="D815" s="173"/>
      <c r="E815" s="173"/>
      <c r="F815" s="173"/>
      <c r="G815" s="173"/>
      <c r="H815" s="174"/>
    </row>
    <row r="816" spans="1:8" ht="266.25" thickBot="1">
      <c r="A816" s="55">
        <v>21.1</v>
      </c>
      <c r="B816" s="56" t="s">
        <v>172</v>
      </c>
      <c r="C816" s="51" t="s">
        <v>115</v>
      </c>
      <c r="D816" s="48">
        <v>5.22</v>
      </c>
      <c r="E816" s="48">
        <v>5.76</v>
      </c>
      <c r="F816" s="48">
        <v>7.2</v>
      </c>
      <c r="G816" s="48">
        <v>106.2</v>
      </c>
      <c r="H816" s="48">
        <v>1.26</v>
      </c>
    </row>
    <row r="817" spans="1:8" ht="89.25" thickBot="1">
      <c r="A817" s="54">
        <v>74</v>
      </c>
      <c r="B817" s="24" t="s">
        <v>221</v>
      </c>
      <c r="C817" s="51" t="s">
        <v>26</v>
      </c>
      <c r="D817" s="52">
        <v>12.75</v>
      </c>
      <c r="E817" s="52">
        <v>15.38</v>
      </c>
      <c r="F817" s="52">
        <v>24.55</v>
      </c>
      <c r="G817" s="52">
        <v>297.5</v>
      </c>
      <c r="H817" s="52">
        <v>0.45</v>
      </c>
    </row>
    <row r="818" spans="1:8" ht="89.25" thickBot="1">
      <c r="A818" s="54"/>
      <c r="B818" s="24" t="s">
        <v>29</v>
      </c>
      <c r="C818" s="34">
        <f aca="true" t="shared" si="62" ref="C818:H818">C816+C817</f>
        <v>280</v>
      </c>
      <c r="D818" s="52">
        <f t="shared" si="62"/>
        <v>17.97</v>
      </c>
      <c r="E818" s="52">
        <f t="shared" si="62"/>
        <v>21.14</v>
      </c>
      <c r="F818" s="52">
        <f t="shared" si="62"/>
        <v>31.75</v>
      </c>
      <c r="G818" s="52">
        <f t="shared" si="62"/>
        <v>403.7</v>
      </c>
      <c r="H818" s="52">
        <f t="shared" si="62"/>
        <v>1.71</v>
      </c>
    </row>
    <row r="819" spans="1:8" ht="89.25" thickBot="1">
      <c r="A819" s="185" t="s">
        <v>144</v>
      </c>
      <c r="B819" s="186"/>
      <c r="C819" s="186"/>
      <c r="D819" s="186"/>
      <c r="E819" s="186"/>
      <c r="F819" s="186"/>
      <c r="G819" s="186"/>
      <c r="H819" s="187"/>
    </row>
    <row r="820" spans="1:8" ht="409.5" thickBot="1">
      <c r="A820" s="54">
        <v>87.84</v>
      </c>
      <c r="B820" s="26" t="s">
        <v>273</v>
      </c>
      <c r="C820" s="34">
        <v>180</v>
      </c>
      <c r="D820" s="48">
        <v>5.27</v>
      </c>
      <c r="E820" s="48">
        <v>6</v>
      </c>
      <c r="F820" s="48">
        <v>23.95</v>
      </c>
      <c r="G820" s="48">
        <v>169</v>
      </c>
      <c r="H820" s="48">
        <v>1.77</v>
      </c>
    </row>
    <row r="821" spans="1:8" ht="177.75" thickBot="1">
      <c r="A821" s="47" t="s">
        <v>32</v>
      </c>
      <c r="B821" s="24" t="s">
        <v>56</v>
      </c>
      <c r="C821" s="34">
        <v>25</v>
      </c>
      <c r="D821" s="52">
        <v>2</v>
      </c>
      <c r="E821" s="52">
        <v>0.25</v>
      </c>
      <c r="F821" s="52">
        <v>12.05</v>
      </c>
      <c r="G821" s="52">
        <v>59</v>
      </c>
      <c r="H821" s="52">
        <v>0</v>
      </c>
    </row>
    <row r="822" spans="1:8" ht="89.25" thickBot="1">
      <c r="A822" s="54">
        <v>76</v>
      </c>
      <c r="B822" s="50" t="s">
        <v>171</v>
      </c>
      <c r="C822" s="34">
        <v>200</v>
      </c>
      <c r="D822" s="52">
        <v>2.24</v>
      </c>
      <c r="E822" s="52">
        <v>2.56</v>
      </c>
      <c r="F822" s="52">
        <v>13.74</v>
      </c>
      <c r="G822" s="52">
        <v>86</v>
      </c>
      <c r="H822" s="52">
        <v>1.04</v>
      </c>
    </row>
    <row r="823" spans="1:8" ht="177.75" thickBot="1">
      <c r="A823" s="47">
        <v>69</v>
      </c>
      <c r="B823" s="24" t="s">
        <v>106</v>
      </c>
      <c r="C823" s="51" t="s">
        <v>253</v>
      </c>
      <c r="D823" s="52">
        <v>0.34</v>
      </c>
      <c r="E823" s="52">
        <v>0.34</v>
      </c>
      <c r="F823" s="52">
        <v>8.33</v>
      </c>
      <c r="G823" s="52">
        <v>39.95</v>
      </c>
      <c r="H823" s="52">
        <v>8.5</v>
      </c>
    </row>
    <row r="824" spans="1:8" ht="89.25" thickBot="1">
      <c r="A824" s="47"/>
      <c r="B824" s="24" t="s">
        <v>6</v>
      </c>
      <c r="C824" s="34">
        <f aca="true" t="shared" si="63" ref="C824:H824">C820+C821+C822+C823</f>
        <v>490</v>
      </c>
      <c r="D824" s="52">
        <f t="shared" si="63"/>
        <v>9.85</v>
      </c>
      <c r="E824" s="52">
        <f t="shared" si="63"/>
        <v>9.15</v>
      </c>
      <c r="F824" s="52">
        <f t="shared" si="63"/>
        <v>58.07</v>
      </c>
      <c r="G824" s="52">
        <f t="shared" si="63"/>
        <v>353.95</v>
      </c>
      <c r="H824" s="52">
        <f t="shared" si="63"/>
        <v>11.31</v>
      </c>
    </row>
    <row r="825" spans="1:8" ht="89.25" thickBot="1">
      <c r="A825" s="47"/>
      <c r="B825" s="24"/>
      <c r="C825" s="51"/>
      <c r="D825" s="40" t="s">
        <v>0</v>
      </c>
      <c r="E825" s="41" t="s">
        <v>1</v>
      </c>
      <c r="F825" s="41" t="s">
        <v>2</v>
      </c>
      <c r="G825" s="149" t="s">
        <v>3</v>
      </c>
      <c r="H825" s="41" t="s">
        <v>4</v>
      </c>
    </row>
    <row r="826" spans="1:8" ht="89.25" thickBot="1">
      <c r="A826" s="47"/>
      <c r="B826" s="58" t="s">
        <v>10</v>
      </c>
      <c r="C826" s="51"/>
      <c r="D826" s="52">
        <f>D803+D806+D814+D818+D824</f>
        <v>58.86</v>
      </c>
      <c r="E826" s="52">
        <f>E803+E806+E814+E818+E824</f>
        <v>59.79</v>
      </c>
      <c r="F826" s="52">
        <f>F803+F806+F814+F818+F824</f>
        <v>270.31</v>
      </c>
      <c r="G826" s="52">
        <f>G803+G806+G814+G818+G824</f>
        <v>1891.5700000000002</v>
      </c>
      <c r="H826" s="52">
        <f>H803+H806+H814+H818+H824</f>
        <v>49.82</v>
      </c>
    </row>
    <row r="827" spans="1:8" ht="89.25" thickBot="1">
      <c r="A827" s="47"/>
      <c r="B827" s="58" t="s">
        <v>11</v>
      </c>
      <c r="C827" s="51"/>
      <c r="D827" s="52">
        <v>54</v>
      </c>
      <c r="E827" s="52">
        <v>60</v>
      </c>
      <c r="F827" s="52">
        <v>261</v>
      </c>
      <c r="G827" s="52">
        <v>1800</v>
      </c>
      <c r="H827" s="52">
        <v>50</v>
      </c>
    </row>
    <row r="828" spans="1:8" ht="263.25" thickBot="1">
      <c r="A828" s="42"/>
      <c r="B828" s="59" t="s">
        <v>12</v>
      </c>
      <c r="C828" s="41"/>
      <c r="D828" s="60">
        <f>D826*100/D827</f>
        <v>109</v>
      </c>
      <c r="E828" s="60">
        <f>E826*100/E827</f>
        <v>99.65</v>
      </c>
      <c r="F828" s="60">
        <f>F826*100/F827</f>
        <v>103.56704980842912</v>
      </c>
      <c r="G828" s="60">
        <f>G826*100/G827</f>
        <v>105.08722222222224</v>
      </c>
      <c r="H828" s="60">
        <f>H826*100/H827</f>
        <v>99.64</v>
      </c>
    </row>
    <row r="829" spans="1:8" ht="88.5">
      <c r="A829" s="61"/>
      <c r="B829" s="147"/>
      <c r="C829" s="146"/>
      <c r="D829" s="62"/>
      <c r="E829" s="62"/>
      <c r="F829" s="62"/>
      <c r="G829" s="62"/>
      <c r="H829" s="62"/>
    </row>
    <row r="830" spans="1:8" ht="88.5">
      <c r="A830" s="61"/>
      <c r="B830" s="38" t="s">
        <v>68</v>
      </c>
      <c r="C830" s="38"/>
      <c r="E830" s="62"/>
      <c r="F830" s="62"/>
      <c r="G830" s="62"/>
      <c r="H830" s="62"/>
    </row>
    <row r="831" spans="1:2" ht="102">
      <c r="A831" s="61"/>
      <c r="B831" s="38" t="s">
        <v>271</v>
      </c>
    </row>
    <row r="832" spans="1:2" ht="88.5">
      <c r="A832" s="61"/>
      <c r="B832" s="38" t="s">
        <v>67</v>
      </c>
    </row>
    <row r="833" spans="1:2" ht="88.5">
      <c r="A833" s="61"/>
      <c r="B833" s="38" t="s">
        <v>151</v>
      </c>
    </row>
    <row r="834" spans="1:8" ht="88.5">
      <c r="A834" s="175" t="s">
        <v>198</v>
      </c>
      <c r="B834" s="175"/>
      <c r="C834" s="175"/>
      <c r="D834" s="175"/>
      <c r="E834" s="175"/>
      <c r="F834" s="175"/>
      <c r="G834" s="175"/>
      <c r="H834" s="175"/>
    </row>
    <row r="835" spans="1:8" ht="88.5">
      <c r="A835" s="175" t="s">
        <v>52</v>
      </c>
      <c r="B835" s="175"/>
      <c r="C835" s="175"/>
      <c r="D835" s="175"/>
      <c r="E835" s="175"/>
      <c r="F835" s="175"/>
      <c r="G835" s="175"/>
      <c r="H835" s="175"/>
    </row>
    <row r="836" spans="1:8" ht="88.5">
      <c r="A836" s="176" t="s">
        <v>49</v>
      </c>
      <c r="B836" s="176"/>
      <c r="C836" s="176"/>
      <c r="D836" s="176"/>
      <c r="E836" s="176"/>
      <c r="F836" s="176"/>
      <c r="G836" s="176"/>
      <c r="H836" s="176"/>
    </row>
    <row r="837" spans="1:8" ht="89.25" thickBot="1">
      <c r="A837" s="177"/>
      <c r="B837" s="177"/>
      <c r="C837" s="177"/>
      <c r="D837" s="177"/>
      <c r="E837" s="177"/>
      <c r="F837" s="177"/>
      <c r="G837" s="177"/>
      <c r="H837" s="177"/>
    </row>
    <row r="838" spans="1:8" ht="89.25" thickBot="1">
      <c r="A838" s="178" t="s">
        <v>30</v>
      </c>
      <c r="B838" s="180" t="s">
        <v>50</v>
      </c>
      <c r="C838" s="183" t="s">
        <v>111</v>
      </c>
      <c r="D838" s="172" t="s">
        <v>24</v>
      </c>
      <c r="E838" s="173"/>
      <c r="F838" s="174"/>
      <c r="G838" s="180" t="s">
        <v>51</v>
      </c>
      <c r="H838" s="180" t="s">
        <v>112</v>
      </c>
    </row>
    <row r="839" spans="1:8" ht="89.25" thickBot="1">
      <c r="A839" s="179"/>
      <c r="B839" s="181"/>
      <c r="C839" s="184"/>
      <c r="D839" s="40" t="s">
        <v>0</v>
      </c>
      <c r="E839" s="41" t="s">
        <v>1</v>
      </c>
      <c r="F839" s="41" t="s">
        <v>2</v>
      </c>
      <c r="G839" s="181"/>
      <c r="H839" s="181"/>
    </row>
    <row r="840" spans="1:8" ht="89.25" thickBot="1">
      <c r="A840" s="42">
        <v>1</v>
      </c>
      <c r="B840" s="43">
        <v>2</v>
      </c>
      <c r="C840" s="44">
        <v>3</v>
      </c>
      <c r="D840" s="45">
        <v>4</v>
      </c>
      <c r="E840" s="43">
        <v>5</v>
      </c>
      <c r="F840" s="43">
        <v>6</v>
      </c>
      <c r="G840" s="43">
        <v>7</v>
      </c>
      <c r="H840" s="43">
        <v>8</v>
      </c>
    </row>
    <row r="841" spans="1:8" ht="89.25" thickBot="1">
      <c r="A841" s="172" t="s">
        <v>5</v>
      </c>
      <c r="B841" s="173"/>
      <c r="C841" s="173"/>
      <c r="D841" s="173"/>
      <c r="E841" s="173"/>
      <c r="F841" s="173"/>
      <c r="G841" s="173"/>
      <c r="H841" s="174"/>
    </row>
    <row r="842" spans="1:8" ht="177.75" thickBot="1">
      <c r="A842" s="54">
        <v>23</v>
      </c>
      <c r="B842" s="26" t="s">
        <v>162</v>
      </c>
      <c r="C842" s="51" t="s">
        <v>115</v>
      </c>
      <c r="D842" s="48">
        <v>6.07</v>
      </c>
      <c r="E842" s="48">
        <v>6.08</v>
      </c>
      <c r="F842" s="48">
        <v>26.19</v>
      </c>
      <c r="G842" s="48">
        <v>182</v>
      </c>
      <c r="H842" s="48">
        <v>1.77</v>
      </c>
    </row>
    <row r="843" spans="1:8" ht="89.25" thickBot="1">
      <c r="A843" s="54">
        <v>15</v>
      </c>
      <c r="B843" s="50" t="s">
        <v>224</v>
      </c>
      <c r="C843" s="34">
        <v>200</v>
      </c>
      <c r="D843" s="52">
        <v>3.12</v>
      </c>
      <c r="E843" s="52">
        <v>3.39</v>
      </c>
      <c r="F843" s="52">
        <v>15.81</v>
      </c>
      <c r="G843" s="52">
        <v>106</v>
      </c>
      <c r="H843" s="52">
        <v>1.3</v>
      </c>
    </row>
    <row r="844" spans="1:8" ht="89.25" thickBot="1">
      <c r="A844" s="47">
        <v>16</v>
      </c>
      <c r="B844" s="24" t="s">
        <v>36</v>
      </c>
      <c r="C844" s="53" t="s">
        <v>155</v>
      </c>
      <c r="D844" s="52">
        <v>1.94</v>
      </c>
      <c r="E844" s="52">
        <v>3.77</v>
      </c>
      <c r="F844" s="52">
        <v>12.36</v>
      </c>
      <c r="G844" s="52">
        <v>91</v>
      </c>
      <c r="H844" s="52">
        <v>0</v>
      </c>
    </row>
    <row r="845" spans="1:8" ht="89.25" thickBot="1">
      <c r="A845" s="47"/>
      <c r="B845" s="24" t="s">
        <v>6</v>
      </c>
      <c r="C845" s="34">
        <f>C842+C843+C844</f>
        <v>410</v>
      </c>
      <c r="D845" s="52">
        <f>SUM(D842:D844)</f>
        <v>11.13</v>
      </c>
      <c r="E845" s="52">
        <f>SUM(E842:E844)</f>
        <v>13.24</v>
      </c>
      <c r="F845" s="52">
        <f>SUM(F842:F844)</f>
        <v>54.36</v>
      </c>
      <c r="G845" s="52">
        <f>SUM(G842:G844)</f>
        <v>379</v>
      </c>
      <c r="H845" s="52">
        <f>SUM(H842:H844)</f>
        <v>3.0700000000000003</v>
      </c>
    </row>
    <row r="846" spans="1:8" ht="89.25" thickBot="1">
      <c r="A846" s="172" t="s">
        <v>53</v>
      </c>
      <c r="B846" s="173"/>
      <c r="C846" s="173"/>
      <c r="D846" s="173"/>
      <c r="E846" s="173"/>
      <c r="F846" s="173"/>
      <c r="G846" s="173"/>
      <c r="H846" s="174"/>
    </row>
    <row r="847" spans="1:8" ht="89.25" thickBot="1">
      <c r="A847" s="47" t="s">
        <v>32</v>
      </c>
      <c r="B847" s="24" t="s">
        <v>182</v>
      </c>
      <c r="C847" s="53" t="s">
        <v>27</v>
      </c>
      <c r="D847" s="52">
        <v>0.3</v>
      </c>
      <c r="E847" s="52">
        <v>0.17</v>
      </c>
      <c r="F847" s="52">
        <v>15.17</v>
      </c>
      <c r="G847" s="52">
        <v>69</v>
      </c>
      <c r="H847" s="52">
        <v>3</v>
      </c>
    </row>
    <row r="848" spans="1:8" ht="89.25" thickBot="1">
      <c r="A848" s="47"/>
      <c r="B848" s="24" t="s">
        <v>6</v>
      </c>
      <c r="C848" s="51" t="s">
        <v>27</v>
      </c>
      <c r="D848" s="52">
        <f>SUM(D847)</f>
        <v>0.3</v>
      </c>
      <c r="E848" s="52">
        <f>SUM(E847)</f>
        <v>0.17</v>
      </c>
      <c r="F848" s="52">
        <f>SUM(F847)</f>
        <v>15.17</v>
      </c>
      <c r="G848" s="52">
        <f>SUM(G847)</f>
        <v>69</v>
      </c>
      <c r="H848" s="52">
        <f>SUM(H847)</f>
        <v>3</v>
      </c>
    </row>
    <row r="849" spans="1:8" ht="89.25" thickBot="1">
      <c r="A849" s="172" t="s">
        <v>8</v>
      </c>
      <c r="B849" s="173"/>
      <c r="C849" s="173"/>
      <c r="D849" s="173"/>
      <c r="E849" s="173"/>
      <c r="F849" s="173"/>
      <c r="G849" s="173"/>
      <c r="H849" s="174"/>
    </row>
    <row r="850" spans="1:8" ht="89.25" thickBot="1">
      <c r="A850" s="54">
        <v>56</v>
      </c>
      <c r="B850" s="24" t="s">
        <v>228</v>
      </c>
      <c r="C850" s="53" t="s">
        <v>34</v>
      </c>
      <c r="D850" s="52">
        <v>1.05</v>
      </c>
      <c r="E850" s="52">
        <v>4.84</v>
      </c>
      <c r="F850" s="52">
        <v>6.05</v>
      </c>
      <c r="G850" s="52">
        <v>73.33</v>
      </c>
      <c r="H850" s="52">
        <v>6.4</v>
      </c>
    </row>
    <row r="851" spans="1:8" ht="266.25" thickBot="1">
      <c r="A851" s="47">
        <v>77</v>
      </c>
      <c r="B851" s="24" t="s">
        <v>169</v>
      </c>
      <c r="C851" s="53" t="s">
        <v>25</v>
      </c>
      <c r="D851" s="52">
        <v>3.74</v>
      </c>
      <c r="E851" s="52">
        <v>5.34</v>
      </c>
      <c r="F851" s="52">
        <v>12.82</v>
      </c>
      <c r="G851" s="52">
        <v>110</v>
      </c>
      <c r="H851" s="52">
        <v>7.7</v>
      </c>
    </row>
    <row r="852" spans="1:8" ht="177.75" thickBot="1">
      <c r="A852" s="64">
        <v>6</v>
      </c>
      <c r="B852" s="65" t="s">
        <v>74</v>
      </c>
      <c r="C852" s="34">
        <v>60</v>
      </c>
      <c r="D852" s="52">
        <v>8.44</v>
      </c>
      <c r="E852" s="52">
        <v>6.88</v>
      </c>
      <c r="F852" s="52">
        <v>6.13</v>
      </c>
      <c r="G852" s="52">
        <v>119.98</v>
      </c>
      <c r="H852" s="52">
        <v>0.7</v>
      </c>
    </row>
    <row r="853" spans="1:8" ht="89.25" thickBot="1">
      <c r="A853" s="47">
        <v>90</v>
      </c>
      <c r="B853" s="24" t="s">
        <v>73</v>
      </c>
      <c r="C853" s="34">
        <v>120</v>
      </c>
      <c r="D853" s="52">
        <v>1.92</v>
      </c>
      <c r="E853" s="52">
        <v>3.64</v>
      </c>
      <c r="F853" s="52">
        <v>10.68</v>
      </c>
      <c r="G853" s="52">
        <v>88.8</v>
      </c>
      <c r="H853" s="52">
        <v>9.4</v>
      </c>
    </row>
    <row r="854" spans="1:8" ht="177.75" thickBot="1">
      <c r="A854" s="54">
        <v>54</v>
      </c>
      <c r="B854" s="50" t="s">
        <v>153</v>
      </c>
      <c r="C854" s="53" t="s">
        <v>25</v>
      </c>
      <c r="D854" s="52">
        <v>0.16</v>
      </c>
      <c r="E854" s="52">
        <v>0.16</v>
      </c>
      <c r="F854" s="52">
        <v>16.89</v>
      </c>
      <c r="G854" s="52">
        <v>71</v>
      </c>
      <c r="H854" s="52">
        <v>4</v>
      </c>
    </row>
    <row r="855" spans="1:8" ht="177.75" thickBot="1">
      <c r="A855" s="47" t="s">
        <v>32</v>
      </c>
      <c r="B855" s="24" t="s">
        <v>56</v>
      </c>
      <c r="C855" s="34">
        <v>25</v>
      </c>
      <c r="D855" s="52">
        <v>2</v>
      </c>
      <c r="E855" s="52">
        <v>0.25</v>
      </c>
      <c r="F855" s="52">
        <v>12.05</v>
      </c>
      <c r="G855" s="52">
        <v>59</v>
      </c>
      <c r="H855" s="52">
        <v>0</v>
      </c>
    </row>
    <row r="856" spans="1:8" ht="177.75" thickBot="1">
      <c r="A856" s="47" t="s">
        <v>32</v>
      </c>
      <c r="B856" s="24" t="s">
        <v>58</v>
      </c>
      <c r="C856" s="34">
        <v>50</v>
      </c>
      <c r="D856" s="52">
        <v>2.8</v>
      </c>
      <c r="E856" s="52">
        <v>0.6</v>
      </c>
      <c r="F856" s="52">
        <v>24.7</v>
      </c>
      <c r="G856" s="52">
        <v>116</v>
      </c>
      <c r="H856" s="52">
        <v>0</v>
      </c>
    </row>
    <row r="857" spans="1:8" ht="89.25" thickBot="1">
      <c r="A857" s="54"/>
      <c r="B857" s="26" t="s">
        <v>29</v>
      </c>
      <c r="C857" s="34">
        <f aca="true" t="shared" si="64" ref="C857:H857">C850+C851+C852+C853+C854+C855+C856</f>
        <v>715</v>
      </c>
      <c r="D857" s="48">
        <f t="shared" si="64"/>
        <v>20.110000000000003</v>
      </c>
      <c r="E857" s="48">
        <f t="shared" si="64"/>
        <v>21.71</v>
      </c>
      <c r="F857" s="48">
        <f t="shared" si="64"/>
        <v>89.32000000000001</v>
      </c>
      <c r="G857" s="48">
        <f t="shared" si="64"/>
        <v>638.11</v>
      </c>
      <c r="H857" s="48">
        <f t="shared" si="64"/>
        <v>28.200000000000003</v>
      </c>
    </row>
    <row r="858" spans="1:8" ht="89.25" thickBot="1">
      <c r="A858" s="172" t="s">
        <v>145</v>
      </c>
      <c r="B858" s="173"/>
      <c r="C858" s="173"/>
      <c r="D858" s="173"/>
      <c r="E858" s="173"/>
      <c r="F858" s="173"/>
      <c r="G858" s="173"/>
      <c r="H858" s="174"/>
    </row>
    <row r="859" spans="1:8" ht="266.25" thickBot="1">
      <c r="A859" s="55">
        <v>21.1</v>
      </c>
      <c r="B859" s="56" t="s">
        <v>172</v>
      </c>
      <c r="C859" s="51" t="s">
        <v>115</v>
      </c>
      <c r="D859" s="48">
        <v>5.22</v>
      </c>
      <c r="E859" s="48">
        <v>5.76</v>
      </c>
      <c r="F859" s="48">
        <v>7.2</v>
      </c>
      <c r="G859" s="48">
        <v>106.2</v>
      </c>
      <c r="H859" s="48">
        <v>1.26</v>
      </c>
    </row>
    <row r="860" spans="1:8" ht="89.25" thickBot="1">
      <c r="A860" s="47">
        <v>22</v>
      </c>
      <c r="B860" s="24" t="s">
        <v>222</v>
      </c>
      <c r="C860" s="51" t="s">
        <v>59</v>
      </c>
      <c r="D860" s="52">
        <v>5.79</v>
      </c>
      <c r="E860" s="52">
        <v>7.47</v>
      </c>
      <c r="F860" s="52">
        <v>31.12</v>
      </c>
      <c r="G860" s="52">
        <v>229</v>
      </c>
      <c r="H860" s="52">
        <v>0.42</v>
      </c>
    </row>
    <row r="861" spans="1:8" ht="89.25" thickBot="1">
      <c r="A861" s="54"/>
      <c r="B861" s="24" t="s">
        <v>29</v>
      </c>
      <c r="C861" s="34">
        <f aca="true" t="shared" si="65" ref="C861:H861">C859+C860</f>
        <v>250</v>
      </c>
      <c r="D861" s="52">
        <f t="shared" si="65"/>
        <v>11.01</v>
      </c>
      <c r="E861" s="52">
        <f t="shared" si="65"/>
        <v>13.23</v>
      </c>
      <c r="F861" s="52">
        <f t="shared" si="65"/>
        <v>38.32</v>
      </c>
      <c r="G861" s="52">
        <f t="shared" si="65"/>
        <v>335.2</v>
      </c>
      <c r="H861" s="52">
        <f t="shared" si="65"/>
        <v>1.68</v>
      </c>
    </row>
    <row r="862" spans="1:8" ht="89.25" thickBot="1">
      <c r="A862" s="172" t="s">
        <v>144</v>
      </c>
      <c r="B862" s="173"/>
      <c r="C862" s="173"/>
      <c r="D862" s="173"/>
      <c r="E862" s="173"/>
      <c r="F862" s="173"/>
      <c r="G862" s="173"/>
      <c r="H862" s="174"/>
    </row>
    <row r="863" spans="1:8" ht="266.25" thickBot="1">
      <c r="A863" s="54">
        <v>94</v>
      </c>
      <c r="B863" s="24" t="s">
        <v>223</v>
      </c>
      <c r="C863" s="77" t="s">
        <v>247</v>
      </c>
      <c r="D863" s="67">
        <v>32.3</v>
      </c>
      <c r="E863" s="67">
        <v>21.53</v>
      </c>
      <c r="F863" s="67">
        <v>47.44</v>
      </c>
      <c r="G863" s="67">
        <v>533</v>
      </c>
      <c r="H863" s="67">
        <v>1.5</v>
      </c>
    </row>
    <row r="864" spans="1:8" ht="89.25" thickBot="1">
      <c r="A864" s="54">
        <v>13</v>
      </c>
      <c r="B864" s="50" t="s">
        <v>7</v>
      </c>
      <c r="C864" s="34">
        <v>200</v>
      </c>
      <c r="D864" s="52">
        <v>0</v>
      </c>
      <c r="E864" s="52">
        <v>0</v>
      </c>
      <c r="F864" s="52">
        <v>11.98</v>
      </c>
      <c r="G864" s="52">
        <v>45</v>
      </c>
      <c r="H864" s="52">
        <v>0</v>
      </c>
    </row>
    <row r="865" spans="1:8" ht="177.75" thickBot="1">
      <c r="A865" s="47">
        <v>69</v>
      </c>
      <c r="B865" s="24" t="s">
        <v>106</v>
      </c>
      <c r="C865" s="51" t="s">
        <v>253</v>
      </c>
      <c r="D865" s="52">
        <v>0.34</v>
      </c>
      <c r="E865" s="52">
        <v>0.34</v>
      </c>
      <c r="F865" s="52">
        <v>8.33</v>
      </c>
      <c r="G865" s="52">
        <v>39.95</v>
      </c>
      <c r="H865" s="52">
        <v>8.5</v>
      </c>
    </row>
    <row r="866" spans="1:8" ht="89.25" thickBot="1">
      <c r="A866" s="42"/>
      <c r="B866" s="24" t="s">
        <v>6</v>
      </c>
      <c r="C866" s="34">
        <f aca="true" t="shared" si="66" ref="C866:H866">C863+C864+C865</f>
        <v>520</v>
      </c>
      <c r="D866" s="52">
        <f t="shared" si="66"/>
        <v>32.64</v>
      </c>
      <c r="E866" s="52">
        <f t="shared" si="66"/>
        <v>21.87</v>
      </c>
      <c r="F866" s="52">
        <f t="shared" si="66"/>
        <v>67.75</v>
      </c>
      <c r="G866" s="52">
        <f t="shared" si="66"/>
        <v>617.95</v>
      </c>
      <c r="H866" s="52">
        <f t="shared" si="66"/>
        <v>10</v>
      </c>
    </row>
    <row r="867" spans="1:8" ht="89.25" thickBot="1">
      <c r="A867" s="47"/>
      <c r="B867" s="24"/>
      <c r="C867" s="51"/>
      <c r="D867" s="40" t="s">
        <v>0</v>
      </c>
      <c r="E867" s="41" t="s">
        <v>1</v>
      </c>
      <c r="F867" s="41" t="s">
        <v>2</v>
      </c>
      <c r="G867" s="149" t="s">
        <v>3</v>
      </c>
      <c r="H867" s="41" t="s">
        <v>4</v>
      </c>
    </row>
    <row r="868" spans="1:8" ht="89.25" thickBot="1">
      <c r="A868" s="47"/>
      <c r="B868" s="58" t="s">
        <v>10</v>
      </c>
      <c r="C868" s="51"/>
      <c r="D868" s="52">
        <f>D845+D848+D857+D861+D866</f>
        <v>75.19</v>
      </c>
      <c r="E868" s="52">
        <f>E845+E848+E857+E861+E866</f>
        <v>70.22000000000001</v>
      </c>
      <c r="F868" s="52">
        <f>F845+F848+F857+F861+F866</f>
        <v>264.92</v>
      </c>
      <c r="G868" s="52">
        <f>G845+G848+G857+G861+G866</f>
        <v>2039.2600000000002</v>
      </c>
      <c r="H868" s="52">
        <f>H845+H848+H857+H861+H866</f>
        <v>45.95</v>
      </c>
    </row>
    <row r="869" spans="1:8" ht="89.25" thickBot="1">
      <c r="A869" s="47"/>
      <c r="B869" s="58" t="s">
        <v>11</v>
      </c>
      <c r="C869" s="51"/>
      <c r="D869" s="52">
        <v>54</v>
      </c>
      <c r="E869" s="52">
        <v>60</v>
      </c>
      <c r="F869" s="52">
        <v>261</v>
      </c>
      <c r="G869" s="52">
        <v>1800</v>
      </c>
      <c r="H869" s="52">
        <v>50</v>
      </c>
    </row>
    <row r="870" spans="1:8" ht="263.25" thickBot="1">
      <c r="A870" s="42"/>
      <c r="B870" s="59" t="s">
        <v>12</v>
      </c>
      <c r="C870" s="41"/>
      <c r="D870" s="60">
        <f>D868*100/D869</f>
        <v>139.24074074074073</v>
      </c>
      <c r="E870" s="60">
        <f>E868*100/E869</f>
        <v>117.03333333333335</v>
      </c>
      <c r="F870" s="60">
        <f>F868*100/F869</f>
        <v>101.50191570881226</v>
      </c>
      <c r="G870" s="60">
        <f>G868*100/G869</f>
        <v>113.29222222222224</v>
      </c>
      <c r="H870" s="60">
        <f>H868*100/H869</f>
        <v>91.9</v>
      </c>
    </row>
    <row r="871" spans="1:8" ht="88.5">
      <c r="A871" s="61"/>
      <c r="B871" s="147"/>
      <c r="C871" s="146"/>
      <c r="D871" s="62"/>
      <c r="E871" s="62"/>
      <c r="F871" s="62"/>
      <c r="G871" s="62"/>
      <c r="H871" s="62"/>
    </row>
    <row r="872" spans="1:8" ht="88.5">
      <c r="A872" s="61"/>
      <c r="B872" s="38" t="s">
        <v>68</v>
      </c>
      <c r="C872" s="38"/>
      <c r="E872" s="62"/>
      <c r="F872" s="62"/>
      <c r="G872" s="62"/>
      <c r="H872" s="62"/>
    </row>
    <row r="873" spans="1:2" ht="102">
      <c r="A873" s="61"/>
      <c r="B873" s="38" t="s">
        <v>271</v>
      </c>
    </row>
    <row r="874" spans="1:2" ht="88.5">
      <c r="A874" s="61"/>
      <c r="B874" s="38" t="s">
        <v>67</v>
      </c>
    </row>
    <row r="875" spans="1:2" ht="89.25" thickBot="1">
      <c r="A875" s="61"/>
      <c r="B875" s="38" t="s">
        <v>151</v>
      </c>
    </row>
    <row r="876" spans="1:8" ht="155.25" customHeight="1" thickBot="1">
      <c r="A876" s="172" t="s">
        <v>61</v>
      </c>
      <c r="B876" s="173"/>
      <c r="C876" s="173"/>
      <c r="D876" s="173"/>
      <c r="E876" s="173"/>
      <c r="F876" s="173"/>
      <c r="G876" s="173"/>
      <c r="H876" s="174"/>
    </row>
    <row r="877" spans="1:8" ht="89.25" thickBot="1">
      <c r="A877" s="199"/>
      <c r="B877" s="200"/>
      <c r="C877" s="201"/>
      <c r="D877" s="193" t="s">
        <v>24</v>
      </c>
      <c r="E877" s="194"/>
      <c r="F877" s="195"/>
      <c r="G877" s="180" t="s">
        <v>51</v>
      </c>
      <c r="H877" s="180" t="s">
        <v>112</v>
      </c>
    </row>
    <row r="878" spans="1:8" ht="89.25" thickBot="1">
      <c r="A878" s="198"/>
      <c r="B878" s="194"/>
      <c r="C878" s="192"/>
      <c r="D878" s="40" t="s">
        <v>0</v>
      </c>
      <c r="E878" s="41" t="s">
        <v>1</v>
      </c>
      <c r="F878" s="41" t="s">
        <v>2</v>
      </c>
      <c r="G878" s="181"/>
      <c r="H878" s="181"/>
    </row>
    <row r="879" spans="1:8" ht="89.25" thickBot="1">
      <c r="A879" s="188" t="s">
        <v>98</v>
      </c>
      <c r="B879" s="189"/>
      <c r="C879" s="190"/>
      <c r="D879" s="48">
        <f>D38+D83+D129+D173+D215+D260+D304+D347+D390+D434+D478+D523+D564+D609+D651+D695+D739+D784+D826+D868</f>
        <v>1266.6700000000003</v>
      </c>
      <c r="E879" s="48">
        <f>E38+E83+E129+E173+E215+E260+E304+E347+E390+E434+E478+E523+E564+E609+E651+E695+E739+E784+E826+E868</f>
        <v>1230.7700000000002</v>
      </c>
      <c r="F879" s="48">
        <f>F38+F83+F129+F173+F215+F260+F304+F347+F390+F434+F478+F523+F564+F609+F651+F695+F739+F784+F826+F868</f>
        <v>5436.080000000001</v>
      </c>
      <c r="G879" s="48">
        <f>G38+G83+G129+G173+G215+G260+G304+G347+G390+G434+G478+G523+G564+G609+G651+G695+G739+G784+G826+G868</f>
        <v>38720.47</v>
      </c>
      <c r="H879" s="48">
        <f>H38+H83+H129+H173+H215+H260+H304+H347+H390+H434+H478+H523+H564+H609+H651+H695+H739+H784+H826+H868</f>
        <v>1307.1</v>
      </c>
    </row>
    <row r="880" spans="1:8" ht="89.25" thickBot="1">
      <c r="A880" s="188" t="s">
        <v>33</v>
      </c>
      <c r="B880" s="189"/>
      <c r="C880" s="190"/>
      <c r="D880" s="52">
        <f>D879/20</f>
        <v>63.333500000000015</v>
      </c>
      <c r="E880" s="52">
        <f>E879/20</f>
        <v>61.53850000000001</v>
      </c>
      <c r="F880" s="52">
        <f>F879/20</f>
        <v>271.80400000000003</v>
      </c>
      <c r="G880" s="52">
        <f>G879/20</f>
        <v>1936.0235</v>
      </c>
      <c r="H880" s="52">
        <f>H879/20</f>
        <v>65.35499999999999</v>
      </c>
    </row>
    <row r="881" spans="1:8" ht="89.25" thickBot="1">
      <c r="A881" s="188" t="s">
        <v>11</v>
      </c>
      <c r="B881" s="189"/>
      <c r="C881" s="190"/>
      <c r="D881" s="52">
        <v>54</v>
      </c>
      <c r="E881" s="52">
        <v>60</v>
      </c>
      <c r="F881" s="52">
        <v>261</v>
      </c>
      <c r="G881" s="52">
        <v>1800</v>
      </c>
      <c r="H881" s="52">
        <v>50</v>
      </c>
    </row>
    <row r="882" spans="1:8" ht="89.25" thickBot="1">
      <c r="A882" s="188" t="s">
        <v>12</v>
      </c>
      <c r="B882" s="189"/>
      <c r="C882" s="190"/>
      <c r="D882" s="52">
        <f>D880*100/D881</f>
        <v>117.28425925925929</v>
      </c>
      <c r="E882" s="52">
        <f>E880*100/E881</f>
        <v>102.5641666666667</v>
      </c>
      <c r="F882" s="52">
        <f>F880*100/F881</f>
        <v>104.13946360153257</v>
      </c>
      <c r="G882" s="52">
        <f>G880*100/G881</f>
        <v>107.55686111111112</v>
      </c>
      <c r="H882" s="52">
        <f>H880*100/H881</f>
        <v>130.70999999999998</v>
      </c>
    </row>
    <row r="883" spans="1:8" ht="89.25" thickBot="1">
      <c r="A883" s="188" t="s">
        <v>141</v>
      </c>
      <c r="B883" s="189"/>
      <c r="C883" s="190"/>
      <c r="D883" s="52">
        <f>D882-100</f>
        <v>17.284259259259287</v>
      </c>
      <c r="E883" s="52">
        <f>E882-100</f>
        <v>2.5641666666666936</v>
      </c>
      <c r="F883" s="52">
        <f>F882-100</f>
        <v>4.139463601532569</v>
      </c>
      <c r="G883" s="52">
        <f>G882-100</f>
        <v>7.556861111111118</v>
      </c>
      <c r="H883" s="52">
        <f>H882-100</f>
        <v>30.70999999999998</v>
      </c>
    </row>
    <row r="884" spans="1:8" ht="88.5">
      <c r="A884" s="147"/>
      <c r="B884" s="147"/>
      <c r="C884" s="147"/>
      <c r="D884" s="62"/>
      <c r="E884" s="62"/>
      <c r="F884" s="62"/>
      <c r="G884" s="62"/>
      <c r="H884" s="62"/>
    </row>
  </sheetData>
  <sheetProtection/>
  <mergeCells count="310">
    <mergeCell ref="A459:H459"/>
    <mergeCell ref="A471:H471"/>
    <mergeCell ref="H142:H143"/>
    <mergeCell ref="H186:H187"/>
    <mergeCell ref="H228:H229"/>
    <mergeCell ref="A153:H153"/>
    <mergeCell ref="A182:H182"/>
    <mergeCell ref="D142:F142"/>
    <mergeCell ref="B228:B229"/>
    <mergeCell ref="B273:B274"/>
    <mergeCell ref="A231:H231"/>
    <mergeCell ref="A240:H240"/>
    <mergeCell ref="B142:B143"/>
    <mergeCell ref="A183:H183"/>
    <mergeCell ref="A2:H2"/>
    <mergeCell ref="A3:H3"/>
    <mergeCell ref="A47:H47"/>
    <mergeCell ref="A48:H48"/>
    <mergeCell ref="A4:H4"/>
    <mergeCell ref="H6:H7"/>
    <mergeCell ref="A15:H15"/>
    <mergeCell ref="A6:A7"/>
    <mergeCell ref="B6:B7"/>
    <mergeCell ref="C6:C7"/>
    <mergeCell ref="D6:F6"/>
    <mergeCell ref="A18:H18"/>
    <mergeCell ref="A9:H9"/>
    <mergeCell ref="A494:H494"/>
    <mergeCell ref="G6:G7"/>
    <mergeCell ref="A488:H488"/>
    <mergeCell ref="A359:H359"/>
    <mergeCell ref="A406:H406"/>
    <mergeCell ref="A96:A97"/>
    <mergeCell ref="D96:F96"/>
    <mergeCell ref="A426:H426"/>
    <mergeCell ref="A411:H411"/>
    <mergeCell ref="A400:H400"/>
    <mergeCell ref="A414:H414"/>
    <mergeCell ref="A237:H237"/>
    <mergeCell ref="H403:H404"/>
    <mergeCell ref="A281:H281"/>
    <mergeCell ref="D273:F273"/>
    <mergeCell ref="A253:H253"/>
    <mergeCell ref="G403:G404"/>
    <mergeCell ref="A403:A404"/>
    <mergeCell ref="B403:B404"/>
    <mergeCell ref="H360:H361"/>
    <mergeCell ref="H51:H52"/>
    <mergeCell ref="A194:H194"/>
    <mergeCell ref="A99:H99"/>
    <mergeCell ref="A197:H197"/>
    <mergeCell ref="G228:G229"/>
    <mergeCell ref="A293:H293"/>
    <mergeCell ref="A225:H225"/>
    <mergeCell ref="H273:H274"/>
    <mergeCell ref="C142:C143"/>
    <mergeCell ref="A166:H166"/>
    <mergeCell ref="A363:H363"/>
    <mergeCell ref="D403:F403"/>
    <mergeCell ref="C403:C404"/>
    <mergeCell ref="A360:A361"/>
    <mergeCell ref="A402:H402"/>
    <mergeCell ref="C360:C361"/>
    <mergeCell ref="A401:H401"/>
    <mergeCell ref="G360:G361"/>
    <mergeCell ref="A356:H356"/>
    <mergeCell ref="A399:H399"/>
    <mergeCell ref="B360:B361"/>
    <mergeCell ref="A358:H358"/>
    <mergeCell ref="A383:H383"/>
    <mergeCell ref="A371:H371"/>
    <mergeCell ref="A379:H379"/>
    <mergeCell ref="D360:F360"/>
    <mergeCell ref="A368:H368"/>
    <mergeCell ref="A357:H357"/>
    <mergeCell ref="G317:G318"/>
    <mergeCell ref="C317:C318"/>
    <mergeCell ref="A340:H340"/>
    <mergeCell ref="A336:H336"/>
    <mergeCell ref="B317:B318"/>
    <mergeCell ref="H317:H318"/>
    <mergeCell ref="A313:H313"/>
    <mergeCell ref="A328:H328"/>
    <mergeCell ref="A315:H315"/>
    <mergeCell ref="A320:H320"/>
    <mergeCell ref="A317:A318"/>
    <mergeCell ref="A297:H297"/>
    <mergeCell ref="A314:H314"/>
    <mergeCell ref="D317:F317"/>
    <mergeCell ref="A316:H316"/>
    <mergeCell ref="A325:H325"/>
    <mergeCell ref="A276:H276"/>
    <mergeCell ref="A284:H284"/>
    <mergeCell ref="G273:G274"/>
    <mergeCell ref="A272:H272"/>
    <mergeCell ref="A269:H269"/>
    <mergeCell ref="A273:A274"/>
    <mergeCell ref="C273:C274"/>
    <mergeCell ref="A271:H271"/>
    <mergeCell ref="A270:H270"/>
    <mergeCell ref="A227:H227"/>
    <mergeCell ref="A224:H224"/>
    <mergeCell ref="C228:C229"/>
    <mergeCell ref="D228:F228"/>
    <mergeCell ref="A228:A229"/>
    <mergeCell ref="A31:H31"/>
    <mergeCell ref="A49:H49"/>
    <mergeCell ref="A107:H107"/>
    <mergeCell ref="C96:C97"/>
    <mergeCell ref="A138:H138"/>
    <mergeCell ref="A50:H50"/>
    <mergeCell ref="C51:C52"/>
    <mergeCell ref="A59:H59"/>
    <mergeCell ref="A51:A52"/>
    <mergeCell ref="H96:H97"/>
    <mergeCell ref="A209:H209"/>
    <mergeCell ref="A150:H150"/>
    <mergeCell ref="C186:C187"/>
    <mergeCell ref="D186:F186"/>
    <mergeCell ref="A93:H93"/>
    <mergeCell ref="G96:G97"/>
    <mergeCell ref="G142:G143"/>
    <mergeCell ref="A140:H140"/>
    <mergeCell ref="A186:A187"/>
    <mergeCell ref="A141:H141"/>
    <mergeCell ref="D51:F51"/>
    <mergeCell ref="A54:H54"/>
    <mergeCell ref="B51:B52"/>
    <mergeCell ref="A121:H121"/>
    <mergeCell ref="A104:H104"/>
    <mergeCell ref="G51:G52"/>
    <mergeCell ref="A92:H92"/>
    <mergeCell ref="A95:H95"/>
    <mergeCell ref="A62:H62"/>
    <mergeCell ref="A75:H75"/>
    <mergeCell ref="G447:G448"/>
    <mergeCell ref="H447:H448"/>
    <mergeCell ref="A94:H94"/>
    <mergeCell ref="A443:H443"/>
    <mergeCell ref="A142:A143"/>
    <mergeCell ref="B96:B97"/>
    <mergeCell ref="A185:H185"/>
    <mergeCell ref="G186:G187"/>
    <mergeCell ref="A145:H145"/>
    <mergeCell ref="A189:H189"/>
    <mergeCell ref="D491:F491"/>
    <mergeCell ref="G491:G492"/>
    <mergeCell ref="H491:H492"/>
    <mergeCell ref="A444:H444"/>
    <mergeCell ref="A445:H445"/>
    <mergeCell ref="B447:B448"/>
    <mergeCell ref="C447:C448"/>
    <mergeCell ref="D447:F447"/>
    <mergeCell ref="D535:F535"/>
    <mergeCell ref="G535:G536"/>
    <mergeCell ref="A499:H499"/>
    <mergeCell ref="A502:H502"/>
    <mergeCell ref="A516:H516"/>
    <mergeCell ref="A450:H450"/>
    <mergeCell ref="A456:H456"/>
    <mergeCell ref="A531:H531"/>
    <mergeCell ref="A532:H532"/>
    <mergeCell ref="H535:H536"/>
    <mergeCell ref="A538:H538"/>
    <mergeCell ref="A543:H543"/>
    <mergeCell ref="A546:H546"/>
    <mergeCell ref="A558:H558"/>
    <mergeCell ref="A573:H573"/>
    <mergeCell ref="A533:H533"/>
    <mergeCell ref="A534:H534"/>
    <mergeCell ref="A535:A536"/>
    <mergeCell ref="B535:B536"/>
    <mergeCell ref="C535:C536"/>
    <mergeCell ref="A574:H574"/>
    <mergeCell ref="A575:H575"/>
    <mergeCell ref="A576:H576"/>
    <mergeCell ref="A577:A578"/>
    <mergeCell ref="B577:B578"/>
    <mergeCell ref="C577:C578"/>
    <mergeCell ref="D577:F577"/>
    <mergeCell ref="G577:G578"/>
    <mergeCell ref="H577:H578"/>
    <mergeCell ref="C621:C622"/>
    <mergeCell ref="D621:F621"/>
    <mergeCell ref="G621:G622"/>
    <mergeCell ref="A580:H580"/>
    <mergeCell ref="A585:H585"/>
    <mergeCell ref="A588:H588"/>
    <mergeCell ref="A601:H601"/>
    <mergeCell ref="A617:H617"/>
    <mergeCell ref="H621:H622"/>
    <mergeCell ref="A624:H624"/>
    <mergeCell ref="A629:H629"/>
    <mergeCell ref="A632:H632"/>
    <mergeCell ref="A644:H644"/>
    <mergeCell ref="A659:H659"/>
    <mergeCell ref="A618:H618"/>
    <mergeCell ref="A619:H619"/>
    <mergeCell ref="A620:H620"/>
    <mergeCell ref="A621:A622"/>
    <mergeCell ref="B621:B622"/>
    <mergeCell ref="A660:H660"/>
    <mergeCell ref="A661:H661"/>
    <mergeCell ref="A662:H662"/>
    <mergeCell ref="A663:A664"/>
    <mergeCell ref="B663:B664"/>
    <mergeCell ref="C663:C664"/>
    <mergeCell ref="D663:F663"/>
    <mergeCell ref="G663:G664"/>
    <mergeCell ref="H663:H664"/>
    <mergeCell ref="C707:C708"/>
    <mergeCell ref="D707:F707"/>
    <mergeCell ref="G707:G708"/>
    <mergeCell ref="A666:H666"/>
    <mergeCell ref="A672:H672"/>
    <mergeCell ref="A675:H675"/>
    <mergeCell ref="A688:H688"/>
    <mergeCell ref="A703:H703"/>
    <mergeCell ref="H707:H708"/>
    <mergeCell ref="A710:H710"/>
    <mergeCell ref="A715:H715"/>
    <mergeCell ref="A718:H718"/>
    <mergeCell ref="A731:H731"/>
    <mergeCell ref="A747:H747"/>
    <mergeCell ref="A704:H704"/>
    <mergeCell ref="A705:H705"/>
    <mergeCell ref="A706:H706"/>
    <mergeCell ref="A707:A708"/>
    <mergeCell ref="B707:B708"/>
    <mergeCell ref="A748:H748"/>
    <mergeCell ref="A749:H749"/>
    <mergeCell ref="A750:H750"/>
    <mergeCell ref="A751:A752"/>
    <mergeCell ref="B751:B752"/>
    <mergeCell ref="C751:C752"/>
    <mergeCell ref="D751:F751"/>
    <mergeCell ref="G751:G752"/>
    <mergeCell ref="H751:H752"/>
    <mergeCell ref="C796:C797"/>
    <mergeCell ref="D796:F796"/>
    <mergeCell ref="G796:G797"/>
    <mergeCell ref="A754:H754"/>
    <mergeCell ref="A759:H759"/>
    <mergeCell ref="A762:H762"/>
    <mergeCell ref="A776:H776"/>
    <mergeCell ref="A792:H792"/>
    <mergeCell ref="H796:H797"/>
    <mergeCell ref="A799:H799"/>
    <mergeCell ref="A804:H804"/>
    <mergeCell ref="A807:H807"/>
    <mergeCell ref="A819:H819"/>
    <mergeCell ref="A834:H834"/>
    <mergeCell ref="A793:H793"/>
    <mergeCell ref="A794:H794"/>
    <mergeCell ref="A795:H795"/>
    <mergeCell ref="A796:A797"/>
    <mergeCell ref="B796:B797"/>
    <mergeCell ref="A837:H837"/>
    <mergeCell ref="A838:A839"/>
    <mergeCell ref="B838:B839"/>
    <mergeCell ref="C838:C839"/>
    <mergeCell ref="D838:F838"/>
    <mergeCell ref="G838:G839"/>
    <mergeCell ref="H838:H839"/>
    <mergeCell ref="G877:G878"/>
    <mergeCell ref="A841:H841"/>
    <mergeCell ref="A846:H846"/>
    <mergeCell ref="A849:H849"/>
    <mergeCell ref="A862:H862"/>
    <mergeCell ref="A876:H876"/>
    <mergeCell ref="D877:F877"/>
    <mergeCell ref="H877:H878"/>
    <mergeCell ref="A879:C879"/>
    <mergeCell ref="A880:C880"/>
    <mergeCell ref="A881:C881"/>
    <mergeCell ref="A882:C882"/>
    <mergeCell ref="A883:C883"/>
    <mergeCell ref="A877:A878"/>
    <mergeCell ref="B877:B878"/>
    <mergeCell ref="C877:C878"/>
    <mergeCell ref="A27:H27"/>
    <mergeCell ref="A71:H71"/>
    <mergeCell ref="A117:H117"/>
    <mergeCell ref="A162:H162"/>
    <mergeCell ref="A205:H205"/>
    <mergeCell ref="A249:H249"/>
    <mergeCell ref="A139:H139"/>
    <mergeCell ref="A184:H184"/>
    <mergeCell ref="A226:H226"/>
    <mergeCell ref="B186:B187"/>
    <mergeCell ref="A422:H422"/>
    <mergeCell ref="A467:H467"/>
    <mergeCell ref="A512:H512"/>
    <mergeCell ref="A487:H487"/>
    <mergeCell ref="A489:H489"/>
    <mergeCell ref="A491:A492"/>
    <mergeCell ref="B491:B492"/>
    <mergeCell ref="C491:C492"/>
    <mergeCell ref="A446:H446"/>
    <mergeCell ref="A447:A448"/>
    <mergeCell ref="A815:H815"/>
    <mergeCell ref="A858:H858"/>
    <mergeCell ref="A554:H554"/>
    <mergeCell ref="A597:H597"/>
    <mergeCell ref="A640:H640"/>
    <mergeCell ref="A684:H684"/>
    <mergeCell ref="A727:H727"/>
    <mergeCell ref="A772:H772"/>
    <mergeCell ref="A835:H835"/>
    <mergeCell ref="A836:H836"/>
  </mergeCells>
  <printOptions/>
  <pageMargins left="0.9448818897637796" right="0.7480314960629921" top="0.984251968503937" bottom="0.984251968503937" header="0.5118110236220472" footer="0.5118110236220472"/>
  <pageSetup fitToHeight="29" horizontalDpi="600" verticalDpi="600" orientation="portrait" paperSize="9" scale="13" r:id="rId1"/>
  <rowBreaks count="20" manualBreakCount="20">
    <brk id="46" max="7" man="1"/>
    <brk id="90" max="7" man="1"/>
    <brk id="137" max="7" man="1"/>
    <brk id="181" max="7" man="1"/>
    <brk id="223" max="7" man="1"/>
    <brk id="268" max="7" man="1"/>
    <brk id="312" max="7" man="1"/>
    <brk id="354" max="7" man="1"/>
    <brk id="398" max="7" man="1"/>
    <brk id="442" max="7" man="1"/>
    <brk id="486" max="7" man="1"/>
    <brk id="530" max="7" man="1"/>
    <brk id="572" max="7" man="1"/>
    <brk id="616" max="7" man="1"/>
    <brk id="658" max="7" man="1"/>
    <brk id="702" max="7" man="1"/>
    <brk id="746" max="7" man="1"/>
    <brk id="791" max="7" man="1"/>
    <brk id="833" max="7" man="1"/>
    <brk id="87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7:S1527"/>
  <sheetViews>
    <sheetView zoomScalePageLayoutView="0" workbookViewId="0" topLeftCell="A1508">
      <selection activeCell="J1514" sqref="J1514:J1524"/>
    </sheetView>
  </sheetViews>
  <sheetFormatPr defaultColWidth="9.140625" defaultRowHeight="12.75"/>
  <cols>
    <col min="1" max="1" width="9.140625" style="137" customWidth="1"/>
    <col min="2" max="2" width="9.28125" style="137" bestFit="1" customWidth="1"/>
    <col min="3" max="3" width="15.140625" style="126" bestFit="1" customWidth="1"/>
    <col min="4" max="5" width="9.28125" style="137" bestFit="1" customWidth="1"/>
    <col min="6" max="6" width="10.421875" style="137" bestFit="1" customWidth="1"/>
    <col min="7" max="7" width="15.00390625" style="137" bestFit="1" customWidth="1"/>
    <col min="8" max="8" width="10.57421875" style="137" bestFit="1" customWidth="1"/>
    <col min="9" max="10" width="9.28125" style="137" bestFit="1" customWidth="1"/>
    <col min="11" max="12" width="10.421875" style="137" bestFit="1" customWidth="1"/>
    <col min="13" max="14" width="9.28125" style="137" bestFit="1" customWidth="1"/>
    <col min="15" max="15" width="10.421875" style="137" bestFit="1" customWidth="1"/>
    <col min="16" max="19" width="9.28125" style="137" bestFit="1" customWidth="1"/>
    <col min="20" max="16384" width="9.140625" style="137" customWidth="1"/>
  </cols>
  <sheetData>
    <row r="6" ht="19.5" thickBot="1"/>
    <row r="7" ht="19.5" thickBot="1">
      <c r="L7" s="8">
        <v>29</v>
      </c>
    </row>
    <row r="8" ht="19.5" thickBot="1">
      <c r="L8" s="9">
        <v>174</v>
      </c>
    </row>
    <row r="9" spans="6:12" ht="19.5" thickBot="1">
      <c r="F9" s="8">
        <v>20</v>
      </c>
      <c r="G9" s="137">
        <f>F9*150/100</f>
        <v>30</v>
      </c>
      <c r="L9" s="9">
        <v>83</v>
      </c>
    </row>
    <row r="10" spans="6:12" ht="19.5" thickBot="1">
      <c r="F10" s="9">
        <v>21</v>
      </c>
      <c r="G10" s="137">
        <f>F10*150/100</f>
        <v>31.5</v>
      </c>
      <c r="L10" s="9">
        <v>3</v>
      </c>
    </row>
    <row r="11" spans="6:12" ht="19.5" thickBot="1">
      <c r="F11" s="9">
        <v>10</v>
      </c>
      <c r="G11" s="137">
        <f>F11*150/100</f>
        <v>15</v>
      </c>
      <c r="L11" s="9"/>
    </row>
    <row r="12" spans="6:12" ht="19.5" thickBot="1">
      <c r="F12" s="9">
        <v>3</v>
      </c>
      <c r="G12" s="137">
        <f>F12*150/100</f>
        <v>4.5</v>
      </c>
      <c r="L12" s="9">
        <v>16</v>
      </c>
    </row>
    <row r="13" ht="19.5" thickBot="1">
      <c r="L13" s="9">
        <v>16</v>
      </c>
    </row>
    <row r="14" spans="5:13" ht="19.5" thickBot="1">
      <c r="E14" s="1">
        <v>2.15</v>
      </c>
      <c r="F14" s="2">
        <v>4.2</v>
      </c>
      <c r="G14" s="2">
        <v>2.42</v>
      </c>
      <c r="H14" s="2">
        <v>57</v>
      </c>
      <c r="I14" s="2">
        <v>12.98</v>
      </c>
      <c r="J14" s="2">
        <v>0.48</v>
      </c>
      <c r="K14" s="2">
        <v>0.04</v>
      </c>
      <c r="L14" s="9">
        <v>8</v>
      </c>
      <c r="M14" s="2">
        <v>3.3</v>
      </c>
    </row>
    <row r="15" spans="5:13" ht="19.5" thickBot="1">
      <c r="E15" s="137">
        <f>E14*60/45</f>
        <v>2.8666666666666667</v>
      </c>
      <c r="F15" s="137">
        <f aca="true" t="shared" si="0" ref="F15:M15">F14*60/45</f>
        <v>5.6</v>
      </c>
      <c r="G15" s="137">
        <f t="shared" si="0"/>
        <v>3.2266666666666666</v>
      </c>
      <c r="H15" s="137">
        <f t="shared" si="0"/>
        <v>76</v>
      </c>
      <c r="I15" s="137">
        <f t="shared" si="0"/>
        <v>17.30666666666667</v>
      </c>
      <c r="J15" s="137">
        <f t="shared" si="0"/>
        <v>0.6399999999999999</v>
      </c>
      <c r="K15" s="137">
        <f t="shared" si="0"/>
        <v>0.05333333333333333</v>
      </c>
      <c r="L15" s="9">
        <v>3</v>
      </c>
      <c r="M15" s="137">
        <f t="shared" si="0"/>
        <v>4.4</v>
      </c>
    </row>
    <row r="16" ht="19.5" thickBot="1">
      <c r="L16" s="9">
        <v>3</v>
      </c>
    </row>
    <row r="17" ht="19.5" thickBot="1">
      <c r="L17" s="9">
        <v>20</v>
      </c>
    </row>
    <row r="18" ht="19.5" thickBot="1">
      <c r="L18" s="9">
        <v>100</v>
      </c>
    </row>
    <row r="20" ht="19.5" thickBot="1"/>
    <row r="21" spans="2:6" ht="19.5" thickBot="1">
      <c r="B21" s="8">
        <v>29</v>
      </c>
      <c r="C21" s="126">
        <f>B21*80/100</f>
        <v>23.2</v>
      </c>
      <c r="E21" s="8">
        <v>62</v>
      </c>
      <c r="F21" s="137">
        <f>E21*110/180</f>
        <v>37.888888888888886</v>
      </c>
    </row>
    <row r="22" spans="2:6" ht="19.5" thickBot="1">
      <c r="B22" s="9">
        <v>174</v>
      </c>
      <c r="C22" s="126">
        <f aca="true" t="shared" si="1" ref="C22:C32">B22*80/100</f>
        <v>139.2</v>
      </c>
      <c r="E22" s="9">
        <v>77</v>
      </c>
      <c r="F22" s="137">
        <f aca="true" t="shared" si="2" ref="F22:F36">E22*110/180</f>
        <v>47.05555555555556</v>
      </c>
    </row>
    <row r="23" spans="2:6" ht="19.5" thickBot="1">
      <c r="B23" s="9">
        <v>83</v>
      </c>
      <c r="C23" s="126">
        <f t="shared" si="1"/>
        <v>66.4</v>
      </c>
      <c r="E23" s="9"/>
      <c r="F23" s="137">
        <f t="shared" si="2"/>
        <v>0</v>
      </c>
    </row>
    <row r="24" spans="2:12" ht="19.5" thickBot="1">
      <c r="B24" s="9">
        <v>3</v>
      </c>
      <c r="C24" s="126">
        <f t="shared" si="1"/>
        <v>2.4</v>
      </c>
      <c r="E24" s="9">
        <v>95</v>
      </c>
      <c r="F24" s="137">
        <f t="shared" si="2"/>
        <v>58.05555555555556</v>
      </c>
      <c r="K24" s="8">
        <v>44</v>
      </c>
      <c r="L24" s="137">
        <f>K24*50/60</f>
        <v>36.666666666666664</v>
      </c>
    </row>
    <row r="25" spans="2:12" ht="19.5" thickBot="1">
      <c r="B25" s="9"/>
      <c r="C25" s="126">
        <f t="shared" si="1"/>
        <v>0</v>
      </c>
      <c r="E25" s="9">
        <v>95</v>
      </c>
      <c r="F25" s="137">
        <f t="shared" si="2"/>
        <v>58.05555555555556</v>
      </c>
      <c r="K25" s="9">
        <v>55</v>
      </c>
      <c r="L25" s="137">
        <f aca="true" t="shared" si="3" ref="L25:L34">K25*50/60</f>
        <v>45.833333333333336</v>
      </c>
    </row>
    <row r="26" spans="2:12" ht="19.5" thickBot="1">
      <c r="B26" s="9">
        <v>16</v>
      </c>
      <c r="C26" s="126">
        <f t="shared" si="1"/>
        <v>12.8</v>
      </c>
      <c r="E26" s="9">
        <v>95</v>
      </c>
      <c r="F26" s="137">
        <f t="shared" si="2"/>
        <v>58.05555555555556</v>
      </c>
      <c r="K26" s="9">
        <v>5</v>
      </c>
      <c r="L26" s="137">
        <f t="shared" si="3"/>
        <v>4.166666666666667</v>
      </c>
    </row>
    <row r="27" spans="2:12" ht="19.5" thickBot="1">
      <c r="B27" s="9">
        <v>16</v>
      </c>
      <c r="C27" s="126">
        <f t="shared" si="1"/>
        <v>12.8</v>
      </c>
      <c r="E27" s="9">
        <v>95</v>
      </c>
      <c r="F27" s="137">
        <f t="shared" si="2"/>
        <v>58.05555555555556</v>
      </c>
      <c r="K27" s="9">
        <v>4</v>
      </c>
      <c r="L27" s="137">
        <f t="shared" si="3"/>
        <v>3.3333333333333335</v>
      </c>
    </row>
    <row r="28" spans="2:12" ht="19.5" thickBot="1">
      <c r="B28" s="9">
        <v>8</v>
      </c>
      <c r="C28" s="126">
        <f t="shared" si="1"/>
        <v>6.4</v>
      </c>
      <c r="E28" s="9">
        <v>12</v>
      </c>
      <c r="F28" s="137">
        <f t="shared" si="2"/>
        <v>7.333333333333333</v>
      </c>
      <c r="K28" s="9">
        <v>4</v>
      </c>
      <c r="L28" s="137">
        <f t="shared" si="3"/>
        <v>3.3333333333333335</v>
      </c>
    </row>
    <row r="29" spans="2:12" ht="19.5" thickBot="1">
      <c r="B29" s="9">
        <v>3</v>
      </c>
      <c r="C29" s="126">
        <f t="shared" si="1"/>
        <v>2.4</v>
      </c>
      <c r="E29" s="9">
        <v>6</v>
      </c>
      <c r="F29" s="137">
        <f t="shared" si="2"/>
        <v>3.6666666666666665</v>
      </c>
      <c r="K29" s="9">
        <v>7</v>
      </c>
      <c r="L29" s="137">
        <f t="shared" si="3"/>
        <v>5.833333333333333</v>
      </c>
    </row>
    <row r="30" spans="2:12" ht="19.5" thickBot="1">
      <c r="B30" s="9">
        <v>3</v>
      </c>
      <c r="C30" s="126">
        <f t="shared" si="1"/>
        <v>2.4</v>
      </c>
      <c r="E30" s="9">
        <v>3</v>
      </c>
      <c r="F30" s="137">
        <f t="shared" si="2"/>
        <v>1.8333333333333333</v>
      </c>
      <c r="K30" s="9">
        <v>12</v>
      </c>
      <c r="L30" s="137">
        <f t="shared" si="3"/>
        <v>10</v>
      </c>
    </row>
    <row r="31" spans="2:12" ht="19.5" thickBot="1">
      <c r="B31" s="9">
        <v>20</v>
      </c>
      <c r="C31" s="126">
        <f t="shared" si="1"/>
        <v>16</v>
      </c>
      <c r="E31" s="9"/>
      <c r="F31" s="137">
        <f t="shared" si="2"/>
        <v>0</v>
      </c>
      <c r="K31" s="9">
        <v>73</v>
      </c>
      <c r="L31" s="137">
        <f t="shared" si="3"/>
        <v>60.833333333333336</v>
      </c>
    </row>
    <row r="32" spans="2:12" ht="19.5" thickBot="1">
      <c r="B32" s="9">
        <v>100</v>
      </c>
      <c r="C32" s="126">
        <f t="shared" si="1"/>
        <v>80</v>
      </c>
      <c r="E32" s="9">
        <v>25</v>
      </c>
      <c r="F32" s="137">
        <f t="shared" si="2"/>
        <v>15.277777777777779</v>
      </c>
      <c r="K32" s="9">
        <v>4</v>
      </c>
      <c r="L32" s="137">
        <f t="shared" si="3"/>
        <v>3.3333333333333335</v>
      </c>
    </row>
    <row r="33" spans="5:12" ht="19.5" thickBot="1">
      <c r="E33" s="9">
        <v>25</v>
      </c>
      <c r="F33" s="137">
        <f t="shared" si="2"/>
        <v>15.277777777777779</v>
      </c>
      <c r="K33" s="9">
        <v>60</v>
      </c>
      <c r="L33" s="137">
        <f t="shared" si="3"/>
        <v>50</v>
      </c>
    </row>
    <row r="34" spans="5:12" ht="19.5" thickBot="1">
      <c r="E34" s="9">
        <v>36</v>
      </c>
      <c r="F34" s="137">
        <f t="shared" si="2"/>
        <v>22</v>
      </c>
      <c r="K34" s="9">
        <v>60</v>
      </c>
      <c r="L34" s="137">
        <f t="shared" si="3"/>
        <v>50</v>
      </c>
    </row>
    <row r="35" spans="5:6" ht="19.5" thickBot="1">
      <c r="E35" s="9">
        <v>144</v>
      </c>
      <c r="F35" s="137">
        <f t="shared" si="2"/>
        <v>88</v>
      </c>
    </row>
    <row r="36" spans="5:6" ht="19.5" thickBot="1">
      <c r="E36" s="9">
        <v>180</v>
      </c>
      <c r="F36" s="137">
        <f t="shared" si="2"/>
        <v>110</v>
      </c>
    </row>
    <row r="45" ht="19.5" thickBot="1"/>
    <row r="46" spans="10:11" ht="19.5" thickBot="1">
      <c r="J46" s="8">
        <v>42</v>
      </c>
      <c r="K46" s="137">
        <f>J46*50/60</f>
        <v>35</v>
      </c>
    </row>
    <row r="47" spans="10:14" ht="19.5" thickBot="1">
      <c r="J47" s="9">
        <v>53</v>
      </c>
      <c r="K47" s="137">
        <f aca="true" t="shared" si="4" ref="K47:K58">J47*50/60</f>
        <v>44.166666666666664</v>
      </c>
      <c r="M47" s="8">
        <v>62</v>
      </c>
      <c r="N47" s="137">
        <f>M47*110/180</f>
        <v>37.888888888888886</v>
      </c>
    </row>
    <row r="48" spans="5:14" ht="19.5" thickBot="1">
      <c r="E48" s="8">
        <v>98</v>
      </c>
      <c r="F48" s="137">
        <f>E48*50/70</f>
        <v>70</v>
      </c>
      <c r="J48" s="9">
        <v>6</v>
      </c>
      <c r="K48" s="137">
        <f t="shared" si="4"/>
        <v>5</v>
      </c>
      <c r="M48" s="9">
        <v>77</v>
      </c>
      <c r="N48" s="137">
        <f aca="true" t="shared" si="5" ref="N48:N64">M48*110/180</f>
        <v>47.05555555555556</v>
      </c>
    </row>
    <row r="49" spans="5:14" ht="19.5" thickBot="1">
      <c r="E49" s="9">
        <v>82</v>
      </c>
      <c r="F49" s="137">
        <f aca="true" t="shared" si="6" ref="F49:F69">E49*50/70</f>
        <v>58.57142857142857</v>
      </c>
      <c r="J49" s="9">
        <v>5</v>
      </c>
      <c r="K49" s="137">
        <f t="shared" si="4"/>
        <v>4.166666666666667</v>
      </c>
      <c r="M49" s="9"/>
      <c r="N49" s="137">
        <f t="shared" si="5"/>
        <v>0</v>
      </c>
    </row>
    <row r="50" spans="5:14" ht="19.5" thickBot="1">
      <c r="E50" s="9">
        <v>94</v>
      </c>
      <c r="F50" s="137">
        <f t="shared" si="6"/>
        <v>67.14285714285714</v>
      </c>
      <c r="J50" s="9">
        <v>16</v>
      </c>
      <c r="K50" s="137">
        <f t="shared" si="4"/>
        <v>13.333333333333334</v>
      </c>
      <c r="M50" s="9">
        <v>47</v>
      </c>
      <c r="N50" s="137">
        <f t="shared" si="5"/>
        <v>28.72222222222222</v>
      </c>
    </row>
    <row r="51" spans="5:14" ht="19.5" thickBot="1">
      <c r="E51" s="9">
        <v>82</v>
      </c>
      <c r="F51" s="137">
        <f t="shared" si="6"/>
        <v>58.57142857142857</v>
      </c>
      <c r="J51" s="9">
        <v>16</v>
      </c>
      <c r="K51" s="137">
        <f t="shared" si="4"/>
        <v>13.333333333333334</v>
      </c>
      <c r="M51" s="9">
        <v>50</v>
      </c>
      <c r="N51" s="137">
        <f t="shared" si="5"/>
        <v>30.555555555555557</v>
      </c>
    </row>
    <row r="52" spans="2:14" ht="19.5" thickBot="1">
      <c r="B52" s="8">
        <v>129</v>
      </c>
      <c r="C52" s="126">
        <f>B52*50/70</f>
        <v>92.14285714285714</v>
      </c>
      <c r="E52" s="9">
        <v>109</v>
      </c>
      <c r="F52" s="137">
        <f t="shared" si="6"/>
        <v>77.85714285714286</v>
      </c>
      <c r="J52" s="9">
        <v>2.4</v>
      </c>
      <c r="K52" s="137">
        <f t="shared" si="4"/>
        <v>2</v>
      </c>
      <c r="M52" s="9">
        <v>54</v>
      </c>
      <c r="N52" s="137">
        <f t="shared" si="5"/>
        <v>33</v>
      </c>
    </row>
    <row r="53" spans="2:14" ht="19.5" thickBot="1">
      <c r="B53" s="9">
        <v>109</v>
      </c>
      <c r="C53" s="126">
        <f aca="true" t="shared" si="7" ref="C53:C70">B53*50/70</f>
        <v>77.85714285714286</v>
      </c>
      <c r="E53" s="9">
        <v>81</v>
      </c>
      <c r="F53" s="137">
        <f t="shared" si="6"/>
        <v>57.857142857142854</v>
      </c>
      <c r="J53" s="9">
        <v>1.2</v>
      </c>
      <c r="K53" s="137">
        <f t="shared" si="4"/>
        <v>1</v>
      </c>
      <c r="M53" s="9">
        <v>58</v>
      </c>
      <c r="N53" s="137">
        <f t="shared" si="5"/>
        <v>35.44444444444444</v>
      </c>
    </row>
    <row r="54" spans="2:14" ht="19.5" thickBot="1">
      <c r="B54" s="9">
        <v>125</v>
      </c>
      <c r="C54" s="126">
        <f t="shared" si="7"/>
        <v>89.28571428571429</v>
      </c>
      <c r="E54" s="9">
        <v>100</v>
      </c>
      <c r="F54" s="137">
        <f t="shared" si="6"/>
        <v>71.42857142857143</v>
      </c>
      <c r="J54" s="9">
        <v>7</v>
      </c>
      <c r="K54" s="137">
        <f t="shared" si="4"/>
        <v>5.833333333333333</v>
      </c>
      <c r="M54" s="9">
        <v>10</v>
      </c>
      <c r="N54" s="137">
        <f t="shared" si="5"/>
        <v>6.111111111111111</v>
      </c>
    </row>
    <row r="55" spans="2:14" ht="19.5" thickBot="1">
      <c r="B55" s="9">
        <v>109</v>
      </c>
      <c r="C55" s="126">
        <f t="shared" si="7"/>
        <v>77.85714285714286</v>
      </c>
      <c r="E55" s="9">
        <v>52</v>
      </c>
      <c r="F55" s="137">
        <f t="shared" si="6"/>
        <v>37.142857142857146</v>
      </c>
      <c r="J55" s="9">
        <v>4</v>
      </c>
      <c r="K55" s="137">
        <f t="shared" si="4"/>
        <v>3.3333333333333335</v>
      </c>
      <c r="M55" s="9">
        <v>6</v>
      </c>
      <c r="N55" s="137">
        <f t="shared" si="5"/>
        <v>3.6666666666666665</v>
      </c>
    </row>
    <row r="56" spans="2:14" ht="19.5" thickBot="1">
      <c r="B56" s="9">
        <v>141</v>
      </c>
      <c r="C56" s="126">
        <f t="shared" si="7"/>
        <v>100.71428571428571</v>
      </c>
      <c r="E56" s="9">
        <v>67</v>
      </c>
      <c r="F56" s="137">
        <f t="shared" si="6"/>
        <v>47.857142857142854</v>
      </c>
      <c r="J56" s="9">
        <v>71</v>
      </c>
      <c r="K56" s="137">
        <f t="shared" si="4"/>
        <v>59.166666666666664</v>
      </c>
      <c r="M56" s="9">
        <v>3</v>
      </c>
      <c r="N56" s="137">
        <f t="shared" si="5"/>
        <v>1.8333333333333333</v>
      </c>
    </row>
    <row r="57" spans="2:14" ht="19.5" thickBot="1">
      <c r="B57" s="9">
        <v>106</v>
      </c>
      <c r="C57" s="126">
        <f t="shared" si="7"/>
        <v>75.71428571428571</v>
      </c>
      <c r="E57" s="9">
        <v>58</v>
      </c>
      <c r="F57" s="137">
        <f t="shared" si="6"/>
        <v>41.42857142857143</v>
      </c>
      <c r="J57" s="9">
        <v>4</v>
      </c>
      <c r="K57" s="137">
        <f t="shared" si="4"/>
        <v>3.3333333333333335</v>
      </c>
      <c r="M57" s="9"/>
      <c r="N57" s="137">
        <f t="shared" si="5"/>
        <v>0</v>
      </c>
    </row>
    <row r="58" spans="2:14" ht="19.5" thickBot="1">
      <c r="B58" s="9">
        <v>134</v>
      </c>
      <c r="C58" s="126">
        <f t="shared" si="7"/>
        <v>95.71428571428571</v>
      </c>
      <c r="E58" s="9">
        <v>62</v>
      </c>
      <c r="F58" s="137">
        <f t="shared" si="6"/>
        <v>44.285714285714285</v>
      </c>
      <c r="J58" s="9">
        <v>60</v>
      </c>
      <c r="K58" s="137">
        <f t="shared" si="4"/>
        <v>50</v>
      </c>
      <c r="M58" s="9">
        <v>12.5</v>
      </c>
      <c r="N58" s="137">
        <f t="shared" si="5"/>
        <v>7.638888888888889</v>
      </c>
    </row>
    <row r="59" spans="2:14" ht="19.5" thickBot="1">
      <c r="B59" s="9">
        <v>69</v>
      </c>
      <c r="C59" s="126">
        <f t="shared" si="7"/>
        <v>49.285714285714285</v>
      </c>
      <c r="E59" s="9">
        <v>55</v>
      </c>
      <c r="F59" s="137">
        <f t="shared" si="6"/>
        <v>39.285714285714285</v>
      </c>
      <c r="M59" s="9">
        <v>13.3</v>
      </c>
      <c r="N59" s="137">
        <f t="shared" si="5"/>
        <v>8.127777777777778</v>
      </c>
    </row>
    <row r="60" spans="2:14" ht="19.5" thickBot="1">
      <c r="B60" s="9">
        <v>89</v>
      </c>
      <c r="C60" s="126">
        <f t="shared" si="7"/>
        <v>63.57142857142857</v>
      </c>
      <c r="E60" s="9">
        <v>14</v>
      </c>
      <c r="F60" s="137">
        <f t="shared" si="6"/>
        <v>10</v>
      </c>
      <c r="M60" s="9">
        <v>22</v>
      </c>
      <c r="N60" s="137">
        <f t="shared" si="5"/>
        <v>13.444444444444445</v>
      </c>
    </row>
    <row r="61" spans="2:14" ht="19.5" thickBot="1">
      <c r="B61" s="9">
        <v>77</v>
      </c>
      <c r="C61" s="126">
        <f t="shared" si="7"/>
        <v>55</v>
      </c>
      <c r="E61" s="9">
        <v>3.5</v>
      </c>
      <c r="F61" s="137">
        <f t="shared" si="6"/>
        <v>2.5</v>
      </c>
      <c r="M61" s="9">
        <v>2</v>
      </c>
      <c r="N61" s="137">
        <f t="shared" si="5"/>
        <v>1.2222222222222223</v>
      </c>
    </row>
    <row r="62" spans="2:14" ht="19.5" thickBot="1">
      <c r="B62" s="9">
        <v>83</v>
      </c>
      <c r="C62" s="126">
        <f t="shared" si="7"/>
        <v>59.285714285714285</v>
      </c>
      <c r="E62" s="9">
        <v>14</v>
      </c>
      <c r="F62" s="137">
        <f t="shared" si="6"/>
        <v>10</v>
      </c>
      <c r="M62" s="9">
        <v>36</v>
      </c>
      <c r="N62" s="137">
        <f t="shared" si="5"/>
        <v>22</v>
      </c>
    </row>
    <row r="63" spans="2:14" ht="19.5" thickBot="1">
      <c r="B63" s="9">
        <v>73</v>
      </c>
      <c r="C63" s="126">
        <f t="shared" si="7"/>
        <v>52.142857142857146</v>
      </c>
      <c r="E63" s="9">
        <v>9</v>
      </c>
      <c r="F63" s="137">
        <f t="shared" si="6"/>
        <v>6.428571428571429</v>
      </c>
      <c r="M63" s="9">
        <v>144</v>
      </c>
      <c r="N63" s="137">
        <f t="shared" si="5"/>
        <v>88</v>
      </c>
    </row>
    <row r="64" spans="2:14" ht="19.5" thickBot="1">
      <c r="B64" s="9">
        <v>9</v>
      </c>
      <c r="C64" s="126">
        <f t="shared" si="7"/>
        <v>6.428571428571429</v>
      </c>
      <c r="E64" s="9">
        <v>4</v>
      </c>
      <c r="F64" s="137">
        <f t="shared" si="6"/>
        <v>2.857142857142857</v>
      </c>
      <c r="M64" s="9">
        <v>180</v>
      </c>
      <c r="N64" s="137">
        <f t="shared" si="5"/>
        <v>110</v>
      </c>
    </row>
    <row r="65" spans="2:6" ht="19.5" thickBot="1">
      <c r="B65" s="9">
        <v>6</v>
      </c>
      <c r="C65" s="126">
        <f t="shared" si="7"/>
        <v>4.285714285714286</v>
      </c>
      <c r="E65" s="9">
        <v>6</v>
      </c>
      <c r="F65" s="137">
        <f t="shared" si="6"/>
        <v>4.285714285714286</v>
      </c>
    </row>
    <row r="66" spans="2:6" ht="19.5" thickBot="1">
      <c r="B66" s="9">
        <v>15</v>
      </c>
      <c r="C66" s="126">
        <f t="shared" si="7"/>
        <v>10.714285714285714</v>
      </c>
      <c r="E66" s="9">
        <v>83</v>
      </c>
      <c r="F66" s="137">
        <f t="shared" si="6"/>
        <v>59.285714285714285</v>
      </c>
    </row>
    <row r="67" spans="2:6" ht="19.5" thickBot="1">
      <c r="B67" s="9">
        <v>2.6</v>
      </c>
      <c r="C67" s="126">
        <f t="shared" si="7"/>
        <v>1.8571428571428572</v>
      </c>
      <c r="E67" s="9">
        <v>5</v>
      </c>
      <c r="F67" s="137">
        <f t="shared" si="6"/>
        <v>3.5714285714285716</v>
      </c>
    </row>
    <row r="68" spans="2:6" ht="19.5" thickBot="1">
      <c r="B68" s="9">
        <v>88</v>
      </c>
      <c r="C68" s="126">
        <f t="shared" si="7"/>
        <v>62.857142857142854</v>
      </c>
      <c r="E68" s="9">
        <v>70</v>
      </c>
      <c r="F68" s="137">
        <f t="shared" si="6"/>
        <v>50</v>
      </c>
    </row>
    <row r="69" spans="2:6" ht="19.5" thickBot="1">
      <c r="B69" s="9">
        <v>70</v>
      </c>
      <c r="C69" s="126">
        <f t="shared" si="7"/>
        <v>50</v>
      </c>
      <c r="E69" s="9">
        <v>70</v>
      </c>
      <c r="F69" s="137">
        <f t="shared" si="6"/>
        <v>50</v>
      </c>
    </row>
    <row r="70" spans="2:3" ht="19.5" thickBot="1">
      <c r="B70" s="9">
        <v>70</v>
      </c>
      <c r="C70" s="126">
        <f t="shared" si="7"/>
        <v>50</v>
      </c>
    </row>
    <row r="83" ht="19.5" thickBot="1"/>
    <row r="84" spans="2:6" ht="19.5" thickBot="1">
      <c r="B84" s="8">
        <v>108</v>
      </c>
      <c r="C84" s="126">
        <f>B84*150/220</f>
        <v>73.63636363636364</v>
      </c>
      <c r="E84" s="8">
        <v>53</v>
      </c>
      <c r="F84" s="137">
        <f>E84*50/60</f>
        <v>44.166666666666664</v>
      </c>
    </row>
    <row r="85" spans="2:6" ht="19.5" thickBot="1">
      <c r="B85" s="9">
        <v>133</v>
      </c>
      <c r="C85" s="126">
        <f aca="true" t="shared" si="8" ref="C85:C97">B85*150/220</f>
        <v>90.68181818181819</v>
      </c>
      <c r="E85" s="9">
        <v>48</v>
      </c>
      <c r="F85" s="137">
        <f aca="true" t="shared" si="9" ref="F85:F96">E85*50/60</f>
        <v>40</v>
      </c>
    </row>
    <row r="86" spans="2:6" ht="19.5" thickBot="1">
      <c r="B86" s="9"/>
      <c r="C86" s="126">
        <f t="shared" si="8"/>
        <v>0</v>
      </c>
      <c r="E86" s="9">
        <v>61</v>
      </c>
      <c r="F86" s="137">
        <f t="shared" si="9"/>
        <v>50.833333333333336</v>
      </c>
    </row>
    <row r="87" spans="2:12" ht="19.5" thickBot="1">
      <c r="B87" s="9">
        <v>209</v>
      </c>
      <c r="C87" s="126">
        <f t="shared" si="8"/>
        <v>142.5</v>
      </c>
      <c r="E87" s="9">
        <v>4</v>
      </c>
      <c r="F87" s="137">
        <f t="shared" si="9"/>
        <v>3.3333333333333335</v>
      </c>
      <c r="K87" s="8">
        <v>110</v>
      </c>
      <c r="L87" s="137">
        <f>K87*150/180</f>
        <v>91.66666666666667</v>
      </c>
    </row>
    <row r="88" spans="2:12" ht="19.5" thickBot="1">
      <c r="B88" s="9">
        <v>7</v>
      </c>
      <c r="C88" s="126">
        <f t="shared" si="8"/>
        <v>4.7727272727272725</v>
      </c>
      <c r="E88" s="9"/>
      <c r="F88" s="137">
        <f t="shared" si="9"/>
        <v>0</v>
      </c>
      <c r="K88" s="9">
        <v>138</v>
      </c>
      <c r="L88" s="137">
        <f aca="true" t="shared" si="10" ref="L88:L105">K88*150/180</f>
        <v>115</v>
      </c>
    </row>
    <row r="89" spans="2:12" ht="19.5" thickBot="1">
      <c r="B89" s="9">
        <v>5</v>
      </c>
      <c r="C89" s="126">
        <f t="shared" si="8"/>
        <v>3.409090909090909</v>
      </c>
      <c r="E89" s="9"/>
      <c r="F89" s="137">
        <f t="shared" si="9"/>
        <v>0</v>
      </c>
      <c r="K89" s="9"/>
      <c r="L89" s="137">
        <f t="shared" si="10"/>
        <v>0</v>
      </c>
    </row>
    <row r="90" spans="2:12" ht="19.5" thickBot="1">
      <c r="B90" s="9"/>
      <c r="C90" s="126">
        <f t="shared" si="8"/>
        <v>0</v>
      </c>
      <c r="E90" s="9">
        <v>7</v>
      </c>
      <c r="F90" s="137">
        <f t="shared" si="9"/>
        <v>5.833333333333333</v>
      </c>
      <c r="K90" s="9"/>
      <c r="L90" s="137">
        <f t="shared" si="10"/>
        <v>0</v>
      </c>
    </row>
    <row r="91" spans="2:12" ht="19.5" thickBot="1">
      <c r="B91" s="9">
        <v>8.8</v>
      </c>
      <c r="C91" s="126">
        <f t="shared" si="8"/>
        <v>6</v>
      </c>
      <c r="E91" s="9">
        <v>2</v>
      </c>
      <c r="F91" s="137">
        <f t="shared" si="9"/>
        <v>1.6666666666666667</v>
      </c>
      <c r="K91" s="9">
        <v>167</v>
      </c>
      <c r="L91" s="137">
        <f t="shared" si="10"/>
        <v>139.16666666666666</v>
      </c>
    </row>
    <row r="92" spans="2:12" ht="19.5" thickBot="1">
      <c r="B92" s="9">
        <v>9.3</v>
      </c>
      <c r="C92" s="126">
        <f t="shared" si="8"/>
        <v>6.340909090909091</v>
      </c>
      <c r="E92" s="9">
        <v>21</v>
      </c>
      <c r="F92" s="137">
        <f t="shared" si="9"/>
        <v>17.5</v>
      </c>
      <c r="K92" s="9">
        <v>180</v>
      </c>
      <c r="L92" s="137">
        <f t="shared" si="10"/>
        <v>150</v>
      </c>
    </row>
    <row r="93" spans="2:12" ht="19.5" thickBot="1">
      <c r="B93" s="9">
        <v>11</v>
      </c>
      <c r="C93" s="126">
        <f t="shared" si="8"/>
        <v>7.5</v>
      </c>
      <c r="E93" s="9">
        <v>7</v>
      </c>
      <c r="F93" s="137">
        <f t="shared" si="9"/>
        <v>5.833333333333333</v>
      </c>
      <c r="K93" s="9">
        <v>194</v>
      </c>
      <c r="L93" s="137">
        <f t="shared" si="10"/>
        <v>161.66666666666666</v>
      </c>
    </row>
    <row r="94" spans="2:12" ht="19.5" thickBot="1">
      <c r="B94" s="9">
        <v>1.8</v>
      </c>
      <c r="C94" s="126">
        <f t="shared" si="8"/>
        <v>1.2272727272727273</v>
      </c>
      <c r="E94" s="9">
        <v>1</v>
      </c>
      <c r="F94" s="137">
        <f t="shared" si="9"/>
        <v>0.8333333333333334</v>
      </c>
      <c r="K94" s="9">
        <v>211</v>
      </c>
      <c r="L94" s="137">
        <f t="shared" si="10"/>
        <v>175.83333333333334</v>
      </c>
    </row>
    <row r="95" spans="2:12" ht="19.5" thickBot="1">
      <c r="B95" s="9">
        <v>4</v>
      </c>
      <c r="C95" s="126">
        <f t="shared" si="8"/>
        <v>2.727272727272727</v>
      </c>
      <c r="E95" s="9">
        <v>30</v>
      </c>
      <c r="F95" s="137">
        <f t="shared" si="9"/>
        <v>25</v>
      </c>
      <c r="K95" s="9"/>
      <c r="L95" s="137">
        <f t="shared" si="10"/>
        <v>0</v>
      </c>
    </row>
    <row r="96" spans="2:12" ht="19.5" thickBot="1">
      <c r="B96" s="9">
        <v>158</v>
      </c>
      <c r="C96" s="126">
        <f t="shared" si="8"/>
        <v>107.72727272727273</v>
      </c>
      <c r="E96" s="9">
        <v>60</v>
      </c>
      <c r="F96" s="137">
        <f t="shared" si="9"/>
        <v>50</v>
      </c>
      <c r="K96" s="9"/>
      <c r="L96" s="137">
        <f t="shared" si="10"/>
        <v>0</v>
      </c>
    </row>
    <row r="97" spans="2:12" ht="19.5" thickBot="1">
      <c r="B97" s="9">
        <v>220</v>
      </c>
      <c r="C97" s="126">
        <f t="shared" si="8"/>
        <v>150</v>
      </c>
      <c r="K97" s="9">
        <v>18</v>
      </c>
      <c r="L97" s="137">
        <f t="shared" si="10"/>
        <v>15</v>
      </c>
    </row>
    <row r="98" spans="11:12" ht="19.5" thickBot="1">
      <c r="K98" s="9">
        <v>19</v>
      </c>
      <c r="L98" s="137">
        <f t="shared" si="10"/>
        <v>15.833333333333334</v>
      </c>
    </row>
    <row r="99" spans="11:12" ht="19.5" thickBot="1">
      <c r="K99" s="9">
        <v>11</v>
      </c>
      <c r="L99" s="137">
        <f t="shared" si="10"/>
        <v>9.166666666666666</v>
      </c>
    </row>
    <row r="100" spans="11:12" ht="19.5" thickBot="1">
      <c r="K100" s="9">
        <v>8</v>
      </c>
      <c r="L100" s="137">
        <f t="shared" si="10"/>
        <v>6.666666666666667</v>
      </c>
    </row>
    <row r="101" spans="11:12" ht="19.5" thickBot="1">
      <c r="K101" s="9" t="s">
        <v>107</v>
      </c>
      <c r="L101" s="137" t="e">
        <f t="shared" si="10"/>
        <v>#VALUE!</v>
      </c>
    </row>
    <row r="102" spans="2:12" ht="19.5" thickBot="1">
      <c r="B102" s="8">
        <v>101</v>
      </c>
      <c r="C102" s="126">
        <f>B102*50/70</f>
        <v>72.14285714285714</v>
      </c>
      <c r="K102" s="9">
        <v>2.4</v>
      </c>
      <c r="L102" s="137">
        <f t="shared" si="10"/>
        <v>2</v>
      </c>
    </row>
    <row r="103" spans="2:12" ht="19.5" thickBot="1">
      <c r="B103" s="9">
        <v>84</v>
      </c>
      <c r="C103" s="126">
        <f aca="true" t="shared" si="11" ref="C103:C122">B103*50/70</f>
        <v>60</v>
      </c>
      <c r="F103" s="8">
        <v>170</v>
      </c>
      <c r="G103" s="137">
        <f>F103*150/170</f>
        <v>150</v>
      </c>
      <c r="K103" s="9">
        <v>211</v>
      </c>
      <c r="L103" s="137">
        <f t="shared" si="10"/>
        <v>175.83333333333334</v>
      </c>
    </row>
    <row r="104" spans="2:12" ht="19.5" thickBot="1">
      <c r="B104" s="9">
        <v>97</v>
      </c>
      <c r="C104" s="126">
        <f t="shared" si="11"/>
        <v>69.28571428571429</v>
      </c>
      <c r="F104" s="9">
        <v>170</v>
      </c>
      <c r="G104" s="137">
        <f aca="true" t="shared" si="12" ref="G104:G117">F104*150/170</f>
        <v>150</v>
      </c>
      <c r="K104" s="9">
        <v>180</v>
      </c>
      <c r="L104" s="137">
        <f t="shared" si="10"/>
        <v>150</v>
      </c>
    </row>
    <row r="105" spans="2:12" ht="19.5" thickBot="1">
      <c r="B105" s="9">
        <v>84</v>
      </c>
      <c r="C105" s="126">
        <f t="shared" si="11"/>
        <v>60</v>
      </c>
      <c r="F105" s="9">
        <v>163</v>
      </c>
      <c r="G105" s="137">
        <f t="shared" si="12"/>
        <v>143.8235294117647</v>
      </c>
      <c r="K105" s="9">
        <v>180</v>
      </c>
      <c r="L105" s="137">
        <f t="shared" si="10"/>
        <v>150</v>
      </c>
    </row>
    <row r="106" spans="2:7" ht="19.5" thickBot="1">
      <c r="B106" s="9">
        <v>110</v>
      </c>
      <c r="C106" s="126">
        <f t="shared" si="11"/>
        <v>78.57142857142857</v>
      </c>
      <c r="F106" s="9">
        <v>79</v>
      </c>
      <c r="G106" s="137">
        <f t="shared" si="12"/>
        <v>69.70588235294117</v>
      </c>
    </row>
    <row r="107" spans="2:7" ht="19.5" thickBot="1">
      <c r="B107" s="9">
        <v>81</v>
      </c>
      <c r="C107" s="126">
        <f t="shared" si="11"/>
        <v>57.857142857142854</v>
      </c>
      <c r="F107" s="9"/>
      <c r="G107" s="137">
        <f t="shared" si="12"/>
        <v>0</v>
      </c>
    </row>
    <row r="108" spans="2:15" ht="19.5" thickBot="1">
      <c r="B108" s="9">
        <v>103</v>
      </c>
      <c r="C108" s="126">
        <f t="shared" si="11"/>
        <v>73.57142857142857</v>
      </c>
      <c r="F108" s="9">
        <v>1.6</v>
      </c>
      <c r="G108" s="137">
        <f t="shared" si="12"/>
        <v>1.411764705882353</v>
      </c>
      <c r="N108" s="8">
        <v>50</v>
      </c>
      <c r="O108" s="137">
        <f>N108*50/60</f>
        <v>41.666666666666664</v>
      </c>
    </row>
    <row r="109" spans="2:15" ht="19.5" thickBot="1">
      <c r="B109" s="9">
        <v>53</v>
      </c>
      <c r="C109" s="126">
        <f t="shared" si="11"/>
        <v>37.857142857142854</v>
      </c>
      <c r="F109" s="9">
        <v>1.6</v>
      </c>
      <c r="G109" s="137">
        <f t="shared" si="12"/>
        <v>1.411764705882353</v>
      </c>
      <c r="K109" s="8">
        <v>111</v>
      </c>
      <c r="L109" s="137">
        <f>K109*100/130</f>
        <v>85.38461538461539</v>
      </c>
      <c r="N109" s="9">
        <v>50</v>
      </c>
      <c r="O109" s="137">
        <f aca="true" t="shared" si="13" ref="O109:O118">N109*50/60</f>
        <v>41.666666666666664</v>
      </c>
    </row>
    <row r="110" spans="2:15" ht="19.5" thickBot="1">
      <c r="B110" s="9">
        <v>69</v>
      </c>
      <c r="C110" s="126">
        <f t="shared" si="11"/>
        <v>49.285714285714285</v>
      </c>
      <c r="F110" s="9">
        <v>11</v>
      </c>
      <c r="G110" s="137">
        <f t="shared" si="12"/>
        <v>9.705882352941176</v>
      </c>
      <c r="K110" s="9">
        <v>111</v>
      </c>
      <c r="L110" s="137">
        <f aca="true" t="shared" si="14" ref="L110:L116">K110*100/130</f>
        <v>85.38461538461539</v>
      </c>
      <c r="N110" s="9">
        <v>3</v>
      </c>
      <c r="O110" s="137">
        <f t="shared" si="13"/>
        <v>2.5</v>
      </c>
    </row>
    <row r="111" spans="2:15" ht="19.5" thickBot="1">
      <c r="B111" s="9">
        <v>59</v>
      </c>
      <c r="C111" s="126">
        <f t="shared" si="11"/>
        <v>42.142857142857146</v>
      </c>
      <c r="F111" s="9"/>
      <c r="G111" s="137">
        <f t="shared" si="12"/>
        <v>0</v>
      </c>
      <c r="K111" s="9">
        <v>111</v>
      </c>
      <c r="L111" s="137">
        <f t="shared" si="14"/>
        <v>85.38461538461539</v>
      </c>
      <c r="N111" s="9">
        <v>2</v>
      </c>
      <c r="O111" s="137">
        <f t="shared" si="13"/>
        <v>1.6666666666666667</v>
      </c>
    </row>
    <row r="112" spans="2:15" ht="19.5" thickBot="1">
      <c r="B112" s="9">
        <v>60</v>
      </c>
      <c r="C112" s="126">
        <f t="shared" si="11"/>
        <v>42.857142857142854</v>
      </c>
      <c r="F112" s="9">
        <v>11</v>
      </c>
      <c r="G112" s="137">
        <f t="shared" si="12"/>
        <v>9.705882352941176</v>
      </c>
      <c r="K112" s="9">
        <v>111</v>
      </c>
      <c r="L112" s="137">
        <f t="shared" si="14"/>
        <v>85.38461538461539</v>
      </c>
      <c r="N112" s="9"/>
      <c r="O112" s="137">
        <f t="shared" si="13"/>
        <v>0</v>
      </c>
    </row>
    <row r="113" spans="2:15" ht="19.5" thickBot="1">
      <c r="B113" s="9">
        <v>55</v>
      </c>
      <c r="C113" s="126">
        <f t="shared" si="11"/>
        <v>39.285714285714285</v>
      </c>
      <c r="F113" s="9">
        <v>12</v>
      </c>
      <c r="G113" s="137">
        <f t="shared" si="12"/>
        <v>10.588235294117647</v>
      </c>
      <c r="K113" s="9">
        <v>21</v>
      </c>
      <c r="L113" s="137">
        <f t="shared" si="14"/>
        <v>16.153846153846153</v>
      </c>
      <c r="N113" s="9">
        <v>4</v>
      </c>
      <c r="O113" s="137">
        <f t="shared" si="13"/>
        <v>3.3333333333333335</v>
      </c>
    </row>
    <row r="114" spans="2:15" ht="19.5" thickBot="1">
      <c r="B114" s="9">
        <v>12</v>
      </c>
      <c r="C114" s="126">
        <f t="shared" si="11"/>
        <v>8.571428571428571</v>
      </c>
      <c r="F114" s="9">
        <v>39</v>
      </c>
      <c r="G114" s="137">
        <f t="shared" si="12"/>
        <v>34.411764705882355</v>
      </c>
      <c r="K114" s="9">
        <v>20</v>
      </c>
      <c r="L114" s="137">
        <f t="shared" si="14"/>
        <v>15.384615384615385</v>
      </c>
      <c r="N114" s="9">
        <v>4</v>
      </c>
      <c r="O114" s="137">
        <f t="shared" si="13"/>
        <v>3.3333333333333335</v>
      </c>
    </row>
    <row r="115" spans="2:15" ht="19.5" thickBot="1">
      <c r="B115" s="9">
        <v>5</v>
      </c>
      <c r="C115" s="126">
        <f t="shared" si="11"/>
        <v>3.5714285714285716</v>
      </c>
      <c r="F115" s="9">
        <v>82</v>
      </c>
      <c r="G115" s="137">
        <f t="shared" si="12"/>
        <v>72.3529411764706</v>
      </c>
      <c r="K115" s="9">
        <v>4</v>
      </c>
      <c r="L115" s="137">
        <f t="shared" si="14"/>
        <v>3.076923076923077</v>
      </c>
      <c r="N115" s="9">
        <v>2</v>
      </c>
      <c r="O115" s="137">
        <f t="shared" si="13"/>
        <v>1.6666666666666667</v>
      </c>
    </row>
    <row r="116" spans="2:15" ht="19.5" thickBot="1">
      <c r="B116" s="9">
        <v>9</v>
      </c>
      <c r="C116" s="126">
        <f t="shared" si="11"/>
        <v>6.428571428571429</v>
      </c>
      <c r="F116" s="9">
        <v>110</v>
      </c>
      <c r="G116" s="137">
        <f t="shared" si="12"/>
        <v>97.05882352941177</v>
      </c>
      <c r="K116" s="9">
        <v>130</v>
      </c>
      <c r="L116" s="137">
        <f t="shared" si="14"/>
        <v>100</v>
      </c>
      <c r="N116" s="9">
        <v>1</v>
      </c>
      <c r="O116" s="137">
        <f t="shared" si="13"/>
        <v>0.8333333333333334</v>
      </c>
    </row>
    <row r="117" spans="2:15" ht="19.5" thickBot="1">
      <c r="B117" s="9">
        <v>10</v>
      </c>
      <c r="C117" s="126">
        <f t="shared" si="11"/>
        <v>7.142857142857143</v>
      </c>
      <c r="F117" s="9">
        <v>170</v>
      </c>
      <c r="G117" s="137">
        <f t="shared" si="12"/>
        <v>150</v>
      </c>
      <c r="N117" s="9">
        <v>30</v>
      </c>
      <c r="O117" s="137">
        <f t="shared" si="13"/>
        <v>25</v>
      </c>
    </row>
    <row r="118" spans="2:15" ht="19.5" thickBot="1">
      <c r="B118" s="9">
        <v>81</v>
      </c>
      <c r="C118" s="126">
        <f t="shared" si="11"/>
        <v>57.857142857142854</v>
      </c>
      <c r="N118" s="9">
        <v>30</v>
      </c>
      <c r="O118" s="137">
        <f t="shared" si="13"/>
        <v>25</v>
      </c>
    </row>
    <row r="119" spans="2:3" ht="19.5" thickBot="1">
      <c r="B119" s="9">
        <v>4</v>
      </c>
      <c r="C119" s="126">
        <f t="shared" si="11"/>
        <v>2.857142857142857</v>
      </c>
    </row>
    <row r="120" spans="2:3" ht="19.5" thickBot="1">
      <c r="B120" s="9">
        <v>4</v>
      </c>
      <c r="C120" s="126">
        <f t="shared" si="11"/>
        <v>2.857142857142857</v>
      </c>
    </row>
    <row r="121" spans="2:3" ht="19.5" thickBot="1">
      <c r="B121" s="9">
        <v>70</v>
      </c>
      <c r="C121" s="126">
        <f t="shared" si="11"/>
        <v>50</v>
      </c>
    </row>
    <row r="122" spans="2:3" ht="19.5" thickBot="1">
      <c r="B122" s="9">
        <v>70</v>
      </c>
      <c r="C122" s="126">
        <f t="shared" si="11"/>
        <v>50</v>
      </c>
    </row>
    <row r="123" ht="19.5" thickBot="1"/>
    <row r="124" spans="6:13" ht="19.5" thickBot="1">
      <c r="F124" s="8">
        <v>98</v>
      </c>
      <c r="G124" s="137">
        <f>F124*140/160</f>
        <v>85.75</v>
      </c>
      <c r="L124" s="8">
        <v>96</v>
      </c>
      <c r="M124" s="137">
        <f>L124*50/70</f>
        <v>68.57142857142857</v>
      </c>
    </row>
    <row r="125" spans="6:13" ht="19.5" thickBot="1">
      <c r="F125" s="9">
        <v>126</v>
      </c>
      <c r="G125" s="137">
        <f aca="true" t="shared" si="15" ref="G125:G134">F125*140/160</f>
        <v>110.25</v>
      </c>
      <c r="L125" s="9">
        <v>119</v>
      </c>
      <c r="M125" s="137">
        <f aca="true" t="shared" si="16" ref="M125:M138">L125*50/70</f>
        <v>85</v>
      </c>
    </row>
    <row r="126" spans="6:13" ht="19.5" thickBot="1">
      <c r="F126" s="9">
        <v>56</v>
      </c>
      <c r="G126" s="137">
        <f t="shared" si="15"/>
        <v>49</v>
      </c>
      <c r="L126" s="9"/>
      <c r="M126" s="137">
        <f t="shared" si="16"/>
        <v>0</v>
      </c>
    </row>
    <row r="127" spans="6:13" ht="19.5" thickBot="1">
      <c r="F127" s="9"/>
      <c r="G127" s="137">
        <f t="shared" si="15"/>
        <v>0</v>
      </c>
      <c r="L127" s="9">
        <v>15</v>
      </c>
      <c r="M127" s="137">
        <f t="shared" si="16"/>
        <v>10.714285714285714</v>
      </c>
    </row>
    <row r="128" spans="6:13" ht="19.5" thickBot="1">
      <c r="F128" s="9">
        <v>13</v>
      </c>
      <c r="G128" s="137">
        <f t="shared" si="15"/>
        <v>11.375</v>
      </c>
      <c r="L128" s="9">
        <v>16</v>
      </c>
      <c r="M128" s="137">
        <f t="shared" si="16"/>
        <v>11.428571428571429</v>
      </c>
    </row>
    <row r="129" spans="6:13" ht="19.5" thickBot="1">
      <c r="F129" s="9">
        <v>13</v>
      </c>
      <c r="G129" s="137">
        <f t="shared" si="15"/>
        <v>11.375</v>
      </c>
      <c r="L129" s="9">
        <v>3</v>
      </c>
      <c r="M129" s="137">
        <f t="shared" si="16"/>
        <v>2.142857142857143</v>
      </c>
    </row>
    <row r="130" spans="6:13" ht="19.5" thickBot="1">
      <c r="F130" s="9">
        <v>5</v>
      </c>
      <c r="G130" s="137">
        <f t="shared" si="15"/>
        <v>4.375</v>
      </c>
      <c r="L130" s="9"/>
      <c r="M130" s="137">
        <f t="shared" si="16"/>
        <v>0</v>
      </c>
    </row>
    <row r="131" spans="6:13" ht="19.5" thickBot="1">
      <c r="F131" s="9">
        <v>13</v>
      </c>
      <c r="G131" s="137">
        <f t="shared" si="15"/>
        <v>11.375</v>
      </c>
      <c r="L131" s="9"/>
      <c r="M131" s="137">
        <f t="shared" si="16"/>
        <v>0</v>
      </c>
    </row>
    <row r="132" spans="6:13" ht="19.5" thickBot="1">
      <c r="F132" s="9">
        <v>34</v>
      </c>
      <c r="G132" s="137">
        <f t="shared" si="15"/>
        <v>29.75</v>
      </c>
      <c r="L132" s="9">
        <v>1</v>
      </c>
      <c r="M132" s="137">
        <f t="shared" si="16"/>
        <v>0.7142857142857143</v>
      </c>
    </row>
    <row r="133" spans="6:13" ht="19.5" thickBot="1">
      <c r="F133" s="9">
        <v>69</v>
      </c>
      <c r="G133" s="137">
        <f t="shared" si="15"/>
        <v>60.375</v>
      </c>
      <c r="L133" s="9">
        <v>0.6</v>
      </c>
      <c r="M133" s="137">
        <f t="shared" si="16"/>
        <v>0.42857142857142855</v>
      </c>
    </row>
    <row r="134" spans="6:13" ht="19.5" thickBot="1">
      <c r="F134" s="9">
        <v>160</v>
      </c>
      <c r="G134" s="137">
        <f t="shared" si="15"/>
        <v>140</v>
      </c>
      <c r="L134" s="9">
        <v>8</v>
      </c>
      <c r="M134" s="137">
        <f t="shared" si="16"/>
        <v>5.714285714285714</v>
      </c>
    </row>
    <row r="135" spans="12:13" ht="19.5" thickBot="1">
      <c r="L135" s="9"/>
      <c r="M135" s="137">
        <f t="shared" si="16"/>
        <v>0</v>
      </c>
    </row>
    <row r="136" spans="12:13" ht="19.5" thickBot="1">
      <c r="L136" s="9">
        <v>8</v>
      </c>
      <c r="M136" s="137">
        <f t="shared" si="16"/>
        <v>5.714285714285714</v>
      </c>
    </row>
    <row r="137" spans="12:13" ht="19.5" thickBot="1">
      <c r="L137" s="9">
        <v>16</v>
      </c>
      <c r="M137" s="137">
        <f t="shared" si="16"/>
        <v>11.428571428571429</v>
      </c>
    </row>
    <row r="138" spans="12:13" ht="19.5" thickBot="1">
      <c r="L138" s="9">
        <v>70</v>
      </c>
      <c r="M138" s="137">
        <f t="shared" si="16"/>
        <v>50</v>
      </c>
    </row>
    <row r="139" ht="19.5" thickBot="1"/>
    <row r="140" spans="6:15" ht="19.5" thickBot="1">
      <c r="F140" s="8">
        <v>62</v>
      </c>
      <c r="G140" s="137">
        <f>F140*110/180</f>
        <v>37.888888888888886</v>
      </c>
      <c r="J140" s="3">
        <v>38</v>
      </c>
      <c r="K140" s="137">
        <f>J140*150/110</f>
        <v>51.81818181818182</v>
      </c>
      <c r="N140" s="3">
        <v>38</v>
      </c>
      <c r="O140" s="137">
        <f>N140*150/110</f>
        <v>51.81818181818182</v>
      </c>
    </row>
    <row r="141" spans="6:15" ht="19.5" thickBot="1">
      <c r="F141" s="9">
        <v>77</v>
      </c>
      <c r="G141" s="137">
        <f aca="true" t="shared" si="17" ref="G141:G157">F141*110/180</f>
        <v>47.05555555555556</v>
      </c>
      <c r="J141" s="4">
        <v>47</v>
      </c>
      <c r="K141" s="137">
        <f aca="true" t="shared" si="18" ref="K141:K157">J141*150/110</f>
        <v>64.0909090909091</v>
      </c>
      <c r="N141" s="4">
        <v>47</v>
      </c>
      <c r="O141" s="137">
        <f aca="true" t="shared" si="19" ref="O141:O155">N141*150/110</f>
        <v>64.0909090909091</v>
      </c>
    </row>
    <row r="142" spans="6:15" ht="19.5" thickBot="1">
      <c r="F142" s="9"/>
      <c r="G142" s="137">
        <f t="shared" si="17"/>
        <v>0</v>
      </c>
      <c r="J142" s="4"/>
      <c r="K142" s="137">
        <f t="shared" si="18"/>
        <v>0</v>
      </c>
      <c r="N142" s="4"/>
      <c r="O142" s="137">
        <f t="shared" si="19"/>
        <v>0</v>
      </c>
    </row>
    <row r="143" spans="6:15" ht="19.5" thickBot="1">
      <c r="F143" s="9">
        <v>127</v>
      </c>
      <c r="G143" s="137">
        <f t="shared" si="17"/>
        <v>77.61111111111111</v>
      </c>
      <c r="J143" s="4">
        <v>29</v>
      </c>
      <c r="K143" s="137">
        <f t="shared" si="18"/>
        <v>39.54545454545455</v>
      </c>
      <c r="N143" s="4">
        <v>58</v>
      </c>
      <c r="O143" s="137">
        <f t="shared" si="19"/>
        <v>79.0909090909091</v>
      </c>
    </row>
    <row r="144" spans="6:15" ht="19.5" thickBot="1">
      <c r="F144" s="9">
        <v>136</v>
      </c>
      <c r="G144" s="137">
        <f t="shared" si="17"/>
        <v>83.11111111111111</v>
      </c>
      <c r="J144" s="4">
        <v>31</v>
      </c>
      <c r="K144" s="137">
        <f t="shared" si="18"/>
        <v>42.27272727272727</v>
      </c>
      <c r="N144" s="4">
        <v>58</v>
      </c>
      <c r="O144" s="137">
        <f t="shared" si="19"/>
        <v>79.0909090909091</v>
      </c>
    </row>
    <row r="145" spans="6:15" ht="19.5" thickBot="1">
      <c r="F145" s="9">
        <v>146</v>
      </c>
      <c r="G145" s="137">
        <f t="shared" si="17"/>
        <v>89.22222222222223</v>
      </c>
      <c r="J145" s="4">
        <v>33</v>
      </c>
      <c r="K145" s="137">
        <f t="shared" si="18"/>
        <v>45</v>
      </c>
      <c r="N145" s="4">
        <v>58</v>
      </c>
      <c r="O145" s="137">
        <f t="shared" si="19"/>
        <v>79.0909090909091</v>
      </c>
    </row>
    <row r="146" spans="6:15" ht="19.5" thickBot="1">
      <c r="F146" s="9">
        <v>158</v>
      </c>
      <c r="G146" s="137">
        <f t="shared" si="17"/>
        <v>96.55555555555556</v>
      </c>
      <c r="J146" s="4">
        <v>35</v>
      </c>
      <c r="K146" s="137">
        <f t="shared" si="18"/>
        <v>47.72727272727273</v>
      </c>
      <c r="N146" s="4">
        <v>58</v>
      </c>
      <c r="O146" s="137">
        <f t="shared" si="19"/>
        <v>79.0909090909091</v>
      </c>
    </row>
    <row r="147" spans="6:15" ht="19.5" thickBot="1">
      <c r="F147" s="9">
        <v>14</v>
      </c>
      <c r="G147" s="137">
        <f t="shared" si="17"/>
        <v>8.555555555555555</v>
      </c>
      <c r="J147" s="4">
        <v>6</v>
      </c>
      <c r="K147" s="137">
        <f t="shared" si="18"/>
        <v>8.181818181818182</v>
      </c>
      <c r="N147" s="4">
        <v>7</v>
      </c>
      <c r="O147" s="137">
        <f t="shared" si="19"/>
        <v>9.545454545454545</v>
      </c>
    </row>
    <row r="148" spans="6:15" ht="19.5" thickBot="1">
      <c r="F148" s="9">
        <v>6</v>
      </c>
      <c r="G148" s="137">
        <f t="shared" si="17"/>
        <v>3.6666666666666665</v>
      </c>
      <c r="J148" s="4">
        <v>4</v>
      </c>
      <c r="K148" s="137">
        <f t="shared" si="18"/>
        <v>5.454545454545454</v>
      </c>
      <c r="N148" s="4">
        <v>4</v>
      </c>
      <c r="O148" s="137">
        <f t="shared" si="19"/>
        <v>5.454545454545454</v>
      </c>
    </row>
    <row r="149" spans="6:15" ht="19.5" thickBot="1">
      <c r="F149" s="9">
        <v>3</v>
      </c>
      <c r="G149" s="137">
        <f t="shared" si="17"/>
        <v>1.8333333333333333</v>
      </c>
      <c r="J149" s="4">
        <v>1.8</v>
      </c>
      <c r="K149" s="137">
        <f t="shared" si="18"/>
        <v>2.4545454545454546</v>
      </c>
      <c r="N149" s="4">
        <v>1.8</v>
      </c>
      <c r="O149" s="137">
        <f t="shared" si="19"/>
        <v>2.4545454545454546</v>
      </c>
    </row>
    <row r="150" spans="6:15" ht="19.5" thickBot="1">
      <c r="F150" s="9"/>
      <c r="G150" s="137">
        <f t="shared" si="17"/>
        <v>0</v>
      </c>
      <c r="J150" s="4"/>
      <c r="K150" s="137">
        <f t="shared" si="18"/>
        <v>0</v>
      </c>
      <c r="N150" s="4"/>
      <c r="O150" s="137">
        <f t="shared" si="19"/>
        <v>0</v>
      </c>
    </row>
    <row r="151" spans="6:15" ht="19.5" thickBot="1">
      <c r="F151" s="9">
        <v>31</v>
      </c>
      <c r="G151" s="137">
        <f t="shared" si="17"/>
        <v>18.944444444444443</v>
      </c>
      <c r="J151" s="4">
        <v>7.5</v>
      </c>
      <c r="K151" s="137">
        <f t="shared" si="18"/>
        <v>10.227272727272727</v>
      </c>
      <c r="N151" s="4">
        <v>15</v>
      </c>
      <c r="O151" s="137">
        <f t="shared" si="19"/>
        <v>20.454545454545453</v>
      </c>
    </row>
    <row r="152" spans="6:15" ht="19.5" thickBot="1">
      <c r="F152" s="9">
        <v>33</v>
      </c>
      <c r="G152" s="137">
        <f t="shared" si="17"/>
        <v>20.166666666666668</v>
      </c>
      <c r="J152" s="4">
        <v>8</v>
      </c>
      <c r="K152" s="137">
        <f t="shared" si="18"/>
        <v>10.909090909090908</v>
      </c>
      <c r="N152" s="4">
        <v>15</v>
      </c>
      <c r="O152" s="137">
        <f t="shared" si="19"/>
        <v>20.454545454545453</v>
      </c>
    </row>
    <row r="153" spans="6:15" ht="19.5" thickBot="1">
      <c r="F153" s="9">
        <v>36</v>
      </c>
      <c r="G153" s="137">
        <f t="shared" si="17"/>
        <v>22</v>
      </c>
      <c r="J153" s="4">
        <v>13</v>
      </c>
      <c r="K153" s="137">
        <f t="shared" si="18"/>
        <v>17.727272727272727</v>
      </c>
      <c r="N153" s="4">
        <v>22</v>
      </c>
      <c r="O153" s="137">
        <f t="shared" si="19"/>
        <v>30</v>
      </c>
    </row>
    <row r="154" spans="6:15" ht="19.5" thickBot="1">
      <c r="F154" s="9">
        <v>144</v>
      </c>
      <c r="G154" s="137">
        <f t="shared" si="17"/>
        <v>88</v>
      </c>
      <c r="J154" s="4">
        <v>1.2</v>
      </c>
      <c r="K154" s="137">
        <f t="shared" si="18"/>
        <v>1.6363636363636365</v>
      </c>
      <c r="N154" s="4">
        <v>88</v>
      </c>
      <c r="O154" s="137">
        <f t="shared" si="19"/>
        <v>120</v>
      </c>
    </row>
    <row r="155" spans="6:15" ht="19.5" thickBot="1">
      <c r="F155" s="9">
        <v>180</v>
      </c>
      <c r="G155" s="137">
        <f t="shared" si="17"/>
        <v>110</v>
      </c>
      <c r="J155" s="9"/>
      <c r="K155" s="137">
        <f t="shared" si="18"/>
        <v>0</v>
      </c>
      <c r="N155" s="4">
        <v>110</v>
      </c>
      <c r="O155" s="137">
        <f t="shared" si="19"/>
        <v>150</v>
      </c>
    </row>
    <row r="156" spans="6:11" ht="19.5" thickBot="1">
      <c r="F156" s="9">
        <v>144</v>
      </c>
      <c r="G156" s="137">
        <f t="shared" si="17"/>
        <v>88</v>
      </c>
      <c r="J156" s="4">
        <v>88</v>
      </c>
      <c r="K156" s="137">
        <f t="shared" si="18"/>
        <v>120</v>
      </c>
    </row>
    <row r="157" spans="6:11" ht="19.5" thickBot="1">
      <c r="F157" s="9">
        <v>180</v>
      </c>
      <c r="G157" s="137">
        <f t="shared" si="17"/>
        <v>110</v>
      </c>
      <c r="J157" s="4">
        <v>110</v>
      </c>
      <c r="K157" s="137">
        <f t="shared" si="18"/>
        <v>150</v>
      </c>
    </row>
    <row r="178" ht="19.5" thickBot="1"/>
    <row r="179" spans="5:10" ht="19.5" thickBot="1">
      <c r="E179" s="8">
        <v>42</v>
      </c>
      <c r="F179" s="137">
        <f>E179*50/60</f>
        <v>35</v>
      </c>
      <c r="I179" s="8">
        <v>44</v>
      </c>
      <c r="J179" s="137">
        <f>I179*50/60</f>
        <v>36.666666666666664</v>
      </c>
    </row>
    <row r="180" spans="5:10" ht="19.5" thickBot="1">
      <c r="E180" s="9">
        <v>53</v>
      </c>
      <c r="F180" s="137">
        <f aca="true" t="shared" si="20" ref="F180:F191">E180*50/60</f>
        <v>44.166666666666664</v>
      </c>
      <c r="I180" s="9">
        <v>55</v>
      </c>
      <c r="J180" s="137">
        <f aca="true" t="shared" si="21" ref="J180:J189">I180*50/60</f>
        <v>45.833333333333336</v>
      </c>
    </row>
    <row r="181" spans="5:10" ht="19.5" thickBot="1">
      <c r="E181" s="9">
        <v>6</v>
      </c>
      <c r="F181" s="137">
        <f t="shared" si="20"/>
        <v>5</v>
      </c>
      <c r="I181" s="9">
        <v>5</v>
      </c>
      <c r="J181" s="137">
        <f t="shared" si="21"/>
        <v>4.166666666666667</v>
      </c>
    </row>
    <row r="182" spans="5:16" ht="19.5" thickBot="1">
      <c r="E182" s="9">
        <v>5</v>
      </c>
      <c r="F182" s="137">
        <f t="shared" si="20"/>
        <v>4.166666666666667</v>
      </c>
      <c r="I182" s="9">
        <v>4</v>
      </c>
      <c r="J182" s="137">
        <f t="shared" si="21"/>
        <v>3.3333333333333335</v>
      </c>
      <c r="O182" s="8">
        <v>108</v>
      </c>
      <c r="P182" s="137">
        <f>O182*150/220</f>
        <v>73.63636363636364</v>
      </c>
    </row>
    <row r="183" spans="5:16" ht="19.5" thickBot="1">
      <c r="E183" s="9"/>
      <c r="F183" s="137">
        <f t="shared" si="20"/>
        <v>0</v>
      </c>
      <c r="I183" s="9">
        <v>4</v>
      </c>
      <c r="J183" s="137">
        <f t="shared" si="21"/>
        <v>3.3333333333333335</v>
      </c>
      <c r="O183" s="9">
        <v>133</v>
      </c>
      <c r="P183" s="137">
        <f aca="true" t="shared" si="22" ref="P183:P195">O183*150/220</f>
        <v>90.68181818181819</v>
      </c>
    </row>
    <row r="184" spans="5:16" ht="19.5" thickBot="1">
      <c r="E184" s="9">
        <v>18</v>
      </c>
      <c r="F184" s="137">
        <f t="shared" si="20"/>
        <v>15</v>
      </c>
      <c r="I184" s="9">
        <v>7</v>
      </c>
      <c r="J184" s="137">
        <f t="shared" si="21"/>
        <v>5.833333333333333</v>
      </c>
      <c r="O184" s="9"/>
      <c r="P184" s="137">
        <f t="shared" si="22"/>
        <v>0</v>
      </c>
    </row>
    <row r="185" spans="5:16" ht="38.25" thickBot="1">
      <c r="E185" s="9" t="s">
        <v>108</v>
      </c>
      <c r="F185" s="137" t="e">
        <f t="shared" si="20"/>
        <v>#VALUE!</v>
      </c>
      <c r="I185" s="9">
        <v>12</v>
      </c>
      <c r="J185" s="137">
        <f t="shared" si="21"/>
        <v>10</v>
      </c>
      <c r="O185" s="9">
        <v>209</v>
      </c>
      <c r="P185" s="137">
        <f t="shared" si="22"/>
        <v>142.5</v>
      </c>
    </row>
    <row r="186" spans="5:16" ht="19.5" thickBot="1">
      <c r="E186" s="9">
        <v>1.2</v>
      </c>
      <c r="F186" s="137">
        <f t="shared" si="20"/>
        <v>1</v>
      </c>
      <c r="I186" s="9">
        <v>73</v>
      </c>
      <c r="J186" s="137">
        <f t="shared" si="21"/>
        <v>60.833333333333336</v>
      </c>
      <c r="O186" s="9">
        <v>7</v>
      </c>
      <c r="P186" s="137">
        <f t="shared" si="22"/>
        <v>4.7727272727272725</v>
      </c>
    </row>
    <row r="187" spans="5:16" ht="19.5" thickBot="1">
      <c r="E187" s="9"/>
      <c r="F187" s="137">
        <f t="shared" si="20"/>
        <v>0</v>
      </c>
      <c r="I187" s="9">
        <v>4</v>
      </c>
      <c r="J187" s="137">
        <f t="shared" si="21"/>
        <v>3.3333333333333335</v>
      </c>
      <c r="O187" s="9">
        <v>5</v>
      </c>
      <c r="P187" s="137">
        <f t="shared" si="22"/>
        <v>3.409090909090909</v>
      </c>
    </row>
    <row r="188" spans="5:16" ht="19.5" thickBot="1">
      <c r="E188" s="9">
        <v>4</v>
      </c>
      <c r="F188" s="137">
        <f t="shared" si="20"/>
        <v>3.3333333333333335</v>
      </c>
      <c r="I188" s="9">
        <v>60</v>
      </c>
      <c r="J188" s="137">
        <f t="shared" si="21"/>
        <v>50</v>
      </c>
      <c r="O188" s="9"/>
      <c r="P188" s="137">
        <f t="shared" si="22"/>
        <v>0</v>
      </c>
    </row>
    <row r="189" spans="5:16" ht="19.5" thickBot="1">
      <c r="E189" s="9"/>
      <c r="F189" s="137">
        <f t="shared" si="20"/>
        <v>0</v>
      </c>
      <c r="I189" s="9">
        <v>60</v>
      </c>
      <c r="J189" s="137">
        <f t="shared" si="21"/>
        <v>50</v>
      </c>
      <c r="O189" s="9">
        <v>8.8</v>
      </c>
      <c r="P189" s="137">
        <f t="shared" si="22"/>
        <v>6</v>
      </c>
    </row>
    <row r="190" spans="5:16" ht="19.5" thickBot="1">
      <c r="E190" s="9">
        <v>4</v>
      </c>
      <c r="F190" s="137">
        <f t="shared" si="20"/>
        <v>3.3333333333333335</v>
      </c>
      <c r="O190" s="9">
        <v>9.3</v>
      </c>
      <c r="P190" s="137">
        <f t="shared" si="22"/>
        <v>6.340909090909091</v>
      </c>
    </row>
    <row r="191" spans="5:16" ht="19.5" thickBot="1">
      <c r="E191" s="9">
        <v>60</v>
      </c>
      <c r="F191" s="137">
        <f t="shared" si="20"/>
        <v>50</v>
      </c>
      <c r="O191" s="9">
        <v>11</v>
      </c>
      <c r="P191" s="137">
        <f t="shared" si="22"/>
        <v>7.5</v>
      </c>
    </row>
    <row r="192" spans="15:16" ht="19.5" thickBot="1">
      <c r="O192" s="9">
        <v>1.8</v>
      </c>
      <c r="P192" s="137">
        <f t="shared" si="22"/>
        <v>1.2272727272727273</v>
      </c>
    </row>
    <row r="193" spans="15:16" ht="19.5" thickBot="1">
      <c r="O193" s="9">
        <v>4</v>
      </c>
      <c r="P193" s="137">
        <f t="shared" si="22"/>
        <v>2.727272727272727</v>
      </c>
    </row>
    <row r="194" spans="15:16" ht="19.5" thickBot="1">
      <c r="O194" s="9">
        <v>158</v>
      </c>
      <c r="P194" s="137">
        <f t="shared" si="22"/>
        <v>107.72727272727273</v>
      </c>
    </row>
    <row r="195" spans="15:16" ht="19.5" thickBot="1">
      <c r="O195" s="9">
        <v>220</v>
      </c>
      <c r="P195" s="137">
        <f t="shared" si="22"/>
        <v>150</v>
      </c>
    </row>
    <row r="203" ht="19.5" thickBot="1"/>
    <row r="204" spans="4:5" ht="19.5" thickBot="1">
      <c r="D204" s="8">
        <v>53</v>
      </c>
      <c r="E204" s="137">
        <f>D204*50/60</f>
        <v>44.166666666666664</v>
      </c>
    </row>
    <row r="205" spans="4:10" ht="19.5" thickBot="1">
      <c r="D205" s="9">
        <v>48</v>
      </c>
      <c r="E205" s="137">
        <f aca="true" t="shared" si="23" ref="E205:E216">D205*50/60</f>
        <v>40</v>
      </c>
      <c r="I205" s="8">
        <v>123</v>
      </c>
      <c r="J205" s="137">
        <f>I205*150/200</f>
        <v>92.25</v>
      </c>
    </row>
    <row r="206" spans="4:10" ht="19.5" thickBot="1">
      <c r="D206" s="9">
        <v>61</v>
      </c>
      <c r="E206" s="137">
        <f t="shared" si="23"/>
        <v>50.833333333333336</v>
      </c>
      <c r="I206" s="9">
        <v>153</v>
      </c>
      <c r="J206" s="137">
        <f aca="true" t="shared" si="24" ref="J206:J223">I206*150/200</f>
        <v>114.75</v>
      </c>
    </row>
    <row r="207" spans="4:10" ht="19.5" thickBot="1">
      <c r="D207" s="9">
        <v>4</v>
      </c>
      <c r="E207" s="137">
        <f t="shared" si="23"/>
        <v>3.3333333333333335</v>
      </c>
      <c r="I207" s="9">
        <v>70</v>
      </c>
      <c r="J207" s="137">
        <f t="shared" si="24"/>
        <v>52.5</v>
      </c>
    </row>
    <row r="208" spans="4:10" ht="19.5" thickBot="1">
      <c r="D208" s="9"/>
      <c r="E208" s="137">
        <f t="shared" si="23"/>
        <v>0</v>
      </c>
      <c r="I208" s="9"/>
      <c r="J208" s="137">
        <f t="shared" si="24"/>
        <v>0</v>
      </c>
    </row>
    <row r="209" spans="4:10" ht="19.5" thickBot="1">
      <c r="D209" s="9"/>
      <c r="E209" s="137">
        <f t="shared" si="23"/>
        <v>0</v>
      </c>
      <c r="I209" s="9">
        <v>140</v>
      </c>
      <c r="J209" s="137">
        <f t="shared" si="24"/>
        <v>105</v>
      </c>
    </row>
    <row r="210" spans="4:10" ht="19.5" thickBot="1">
      <c r="D210" s="9">
        <v>7</v>
      </c>
      <c r="E210" s="137">
        <f t="shared" si="23"/>
        <v>5.833333333333333</v>
      </c>
      <c r="I210" s="9">
        <v>140</v>
      </c>
      <c r="J210" s="137">
        <f t="shared" si="24"/>
        <v>105</v>
      </c>
    </row>
    <row r="211" spans="4:10" ht="19.5" thickBot="1">
      <c r="D211" s="9">
        <v>2</v>
      </c>
      <c r="E211" s="137">
        <f t="shared" si="23"/>
        <v>1.6666666666666667</v>
      </c>
      <c r="I211" s="9">
        <v>140</v>
      </c>
      <c r="J211" s="137">
        <f t="shared" si="24"/>
        <v>105</v>
      </c>
    </row>
    <row r="212" spans="4:10" ht="19.5" thickBot="1">
      <c r="D212" s="9">
        <v>21</v>
      </c>
      <c r="E212" s="137">
        <f t="shared" si="23"/>
        <v>17.5</v>
      </c>
      <c r="I212" s="9">
        <v>140</v>
      </c>
      <c r="J212" s="137">
        <f t="shared" si="24"/>
        <v>105</v>
      </c>
    </row>
    <row r="213" spans="4:10" ht="19.5" thickBot="1">
      <c r="D213" s="9">
        <v>7</v>
      </c>
      <c r="E213" s="137">
        <f t="shared" si="23"/>
        <v>5.833333333333333</v>
      </c>
      <c r="I213" s="9">
        <v>132</v>
      </c>
      <c r="J213" s="137">
        <f t="shared" si="24"/>
        <v>99</v>
      </c>
    </row>
    <row r="214" spans="4:10" ht="19.5" thickBot="1">
      <c r="D214" s="9">
        <v>1</v>
      </c>
      <c r="E214" s="137">
        <f t="shared" si="23"/>
        <v>0.8333333333333334</v>
      </c>
      <c r="I214" s="9"/>
      <c r="J214" s="137">
        <f t="shared" si="24"/>
        <v>0</v>
      </c>
    </row>
    <row r="215" spans="4:10" ht="19.5" thickBot="1">
      <c r="D215" s="9">
        <v>30</v>
      </c>
      <c r="E215" s="137">
        <f t="shared" si="23"/>
        <v>25</v>
      </c>
      <c r="I215" s="9">
        <v>15</v>
      </c>
      <c r="J215" s="137">
        <f t="shared" si="24"/>
        <v>11.25</v>
      </c>
    </row>
    <row r="216" spans="4:10" ht="19.5" thickBot="1">
      <c r="D216" s="9">
        <v>60</v>
      </c>
      <c r="E216" s="137">
        <f t="shared" si="23"/>
        <v>50</v>
      </c>
      <c r="I216" s="9">
        <v>15</v>
      </c>
      <c r="J216" s="137">
        <f t="shared" si="24"/>
        <v>11.25</v>
      </c>
    </row>
    <row r="217" spans="9:10" ht="19.5" thickBot="1">
      <c r="I217" s="9">
        <v>10</v>
      </c>
      <c r="J217" s="137">
        <f t="shared" si="24"/>
        <v>7.5</v>
      </c>
    </row>
    <row r="218" spans="9:10" ht="19.5" thickBot="1">
      <c r="I218" s="9">
        <v>9</v>
      </c>
      <c r="J218" s="137">
        <f t="shared" si="24"/>
        <v>6.75</v>
      </c>
    </row>
    <row r="219" spans="9:10" ht="19.5" thickBot="1">
      <c r="I219" s="9">
        <v>4.5</v>
      </c>
      <c r="J219" s="137">
        <f t="shared" si="24"/>
        <v>3.375</v>
      </c>
    </row>
    <row r="220" spans="9:10" ht="19.5" thickBot="1">
      <c r="I220" s="9">
        <v>3</v>
      </c>
      <c r="J220" s="137">
        <f t="shared" si="24"/>
        <v>2.25</v>
      </c>
    </row>
    <row r="221" spans="9:10" ht="19.5" thickBot="1">
      <c r="I221" s="9">
        <v>235</v>
      </c>
      <c r="J221" s="137">
        <f t="shared" si="24"/>
        <v>176.25</v>
      </c>
    </row>
    <row r="222" spans="9:10" ht="19.5" thickBot="1">
      <c r="I222" s="9">
        <v>200</v>
      </c>
      <c r="J222" s="137">
        <f t="shared" si="24"/>
        <v>150</v>
      </c>
    </row>
    <row r="223" spans="9:10" ht="19.5" thickBot="1">
      <c r="I223" s="9">
        <v>200</v>
      </c>
      <c r="J223" s="137">
        <f t="shared" si="24"/>
        <v>150</v>
      </c>
    </row>
    <row r="237" ht="19.5" thickBot="1"/>
    <row r="238" spans="4:10" ht="19.5" thickBot="1">
      <c r="D238" s="3">
        <v>92</v>
      </c>
      <c r="E238" s="137">
        <f>D238*130/150</f>
        <v>79.73333333333333</v>
      </c>
      <c r="I238" s="8">
        <v>49</v>
      </c>
      <c r="J238" s="137">
        <f>I238*50/60</f>
        <v>40.833333333333336</v>
      </c>
    </row>
    <row r="239" spans="4:10" ht="19.5" thickBot="1">
      <c r="D239" s="4">
        <v>115</v>
      </c>
      <c r="E239" s="137">
        <f aca="true" t="shared" si="25" ref="E239:E256">D239*130/150</f>
        <v>99.66666666666667</v>
      </c>
      <c r="I239" s="9">
        <v>60</v>
      </c>
      <c r="J239" s="137">
        <f aca="true" t="shared" si="26" ref="J239:J245">I239*50/60</f>
        <v>50</v>
      </c>
    </row>
    <row r="240" spans="4:10" ht="19.5" thickBot="1">
      <c r="D240" s="4">
        <v>53</v>
      </c>
      <c r="E240" s="137">
        <f t="shared" si="25"/>
        <v>45.93333333333333</v>
      </c>
      <c r="I240" s="9">
        <v>9</v>
      </c>
      <c r="J240" s="137">
        <f t="shared" si="26"/>
        <v>7.5</v>
      </c>
    </row>
    <row r="241" spans="4:10" ht="19.5" thickBot="1">
      <c r="D241" s="4"/>
      <c r="E241" s="137">
        <f t="shared" si="25"/>
        <v>0</v>
      </c>
      <c r="I241" s="9">
        <v>15</v>
      </c>
      <c r="J241" s="137">
        <f t="shared" si="26"/>
        <v>12.5</v>
      </c>
    </row>
    <row r="242" spans="4:10" ht="19.5" thickBot="1">
      <c r="D242" s="4">
        <v>105</v>
      </c>
      <c r="E242" s="137">
        <f t="shared" si="25"/>
        <v>91</v>
      </c>
      <c r="I242" s="9">
        <v>1.7</v>
      </c>
      <c r="J242" s="137">
        <f t="shared" si="26"/>
        <v>1.4166666666666667</v>
      </c>
    </row>
    <row r="243" spans="4:10" ht="19.5" thickBot="1">
      <c r="D243" s="4">
        <v>105</v>
      </c>
      <c r="E243" s="137">
        <f t="shared" si="25"/>
        <v>91</v>
      </c>
      <c r="I243" s="9">
        <v>70</v>
      </c>
      <c r="J243" s="137">
        <f t="shared" si="26"/>
        <v>58.333333333333336</v>
      </c>
    </row>
    <row r="244" spans="4:10" ht="19.5" thickBot="1">
      <c r="D244" s="4">
        <v>105</v>
      </c>
      <c r="E244" s="137">
        <f t="shared" si="25"/>
        <v>91</v>
      </c>
      <c r="I244" s="9">
        <v>60</v>
      </c>
      <c r="J244" s="137">
        <f t="shared" si="26"/>
        <v>50</v>
      </c>
    </row>
    <row r="245" spans="4:10" ht="19.5" thickBot="1">
      <c r="D245" s="4">
        <v>105</v>
      </c>
      <c r="E245" s="137">
        <f t="shared" si="25"/>
        <v>91</v>
      </c>
      <c r="I245" s="9">
        <v>60</v>
      </c>
      <c r="J245" s="137">
        <f t="shared" si="26"/>
        <v>50</v>
      </c>
    </row>
    <row r="246" spans="4:5" ht="19.5" thickBot="1">
      <c r="D246" s="4">
        <v>99</v>
      </c>
      <c r="E246" s="137">
        <f t="shared" si="25"/>
        <v>85.8</v>
      </c>
    </row>
    <row r="247" spans="4:5" ht="19.5" thickBot="1">
      <c r="D247" s="4"/>
      <c r="E247" s="137">
        <f t="shared" si="25"/>
        <v>0</v>
      </c>
    </row>
    <row r="248" spans="4:5" ht="19.5" thickBot="1">
      <c r="D248" s="4">
        <v>11</v>
      </c>
      <c r="E248" s="137">
        <f t="shared" si="25"/>
        <v>9.533333333333333</v>
      </c>
    </row>
    <row r="249" spans="4:5" ht="19.5" thickBot="1">
      <c r="D249" s="4">
        <v>11</v>
      </c>
      <c r="E249" s="137">
        <f t="shared" si="25"/>
        <v>9.533333333333333</v>
      </c>
    </row>
    <row r="250" spans="4:5" ht="19.5" thickBot="1">
      <c r="D250" s="4">
        <v>8</v>
      </c>
      <c r="E250" s="137">
        <f t="shared" si="25"/>
        <v>6.933333333333334</v>
      </c>
    </row>
    <row r="251" spans="4:5" ht="19.5" thickBot="1">
      <c r="D251" s="4">
        <v>7</v>
      </c>
      <c r="E251" s="137">
        <f t="shared" si="25"/>
        <v>6.066666666666666</v>
      </c>
    </row>
    <row r="252" spans="4:5" ht="19.5" thickBot="1">
      <c r="D252" s="4">
        <v>3</v>
      </c>
      <c r="E252" s="137">
        <f t="shared" si="25"/>
        <v>2.6</v>
      </c>
    </row>
    <row r="253" spans="4:5" ht="19.5" thickBot="1">
      <c r="D253" s="4">
        <v>2</v>
      </c>
      <c r="E253" s="137">
        <f t="shared" si="25"/>
        <v>1.7333333333333334</v>
      </c>
    </row>
    <row r="254" spans="4:5" ht="19.5" thickBot="1">
      <c r="D254" s="4">
        <v>176</v>
      </c>
      <c r="E254" s="137">
        <f t="shared" si="25"/>
        <v>152.53333333333333</v>
      </c>
    </row>
    <row r="255" spans="4:5" ht="19.5" thickBot="1">
      <c r="D255" s="4">
        <v>150</v>
      </c>
      <c r="E255" s="137">
        <f t="shared" si="25"/>
        <v>130</v>
      </c>
    </row>
    <row r="256" spans="4:5" ht="19.5" thickBot="1">
      <c r="D256" s="4">
        <v>150</v>
      </c>
      <c r="E256" s="137">
        <f t="shared" si="25"/>
        <v>130</v>
      </c>
    </row>
    <row r="264" ht="19.5" thickBot="1"/>
    <row r="265" spans="10:11" ht="19.5" thickBot="1">
      <c r="J265" s="8">
        <v>101</v>
      </c>
      <c r="K265" s="137">
        <f>J265*50/70</f>
        <v>72.14285714285714</v>
      </c>
    </row>
    <row r="266" spans="10:11" ht="19.5" thickBot="1">
      <c r="J266" s="9">
        <v>84</v>
      </c>
      <c r="K266" s="137">
        <f aca="true" t="shared" si="27" ref="K266:K285">J266*50/70</f>
        <v>60</v>
      </c>
    </row>
    <row r="267" spans="4:11" ht="19.5" thickBot="1">
      <c r="D267" s="8">
        <v>36</v>
      </c>
      <c r="E267" s="137">
        <f>D267*50/60</f>
        <v>30</v>
      </c>
      <c r="J267" s="9">
        <v>97</v>
      </c>
      <c r="K267" s="137">
        <f t="shared" si="27"/>
        <v>69.28571428571429</v>
      </c>
    </row>
    <row r="268" spans="4:11" ht="19.5" thickBot="1">
      <c r="D268" s="9">
        <v>44</v>
      </c>
      <c r="E268" s="137">
        <f aca="true" t="shared" si="28" ref="E268:E283">D268*50/60</f>
        <v>36.666666666666664</v>
      </c>
      <c r="J268" s="9">
        <v>84</v>
      </c>
      <c r="K268" s="137">
        <f t="shared" si="27"/>
        <v>60</v>
      </c>
    </row>
    <row r="269" spans="4:11" ht="19.5" thickBot="1">
      <c r="D269" s="9">
        <v>7</v>
      </c>
      <c r="E269" s="137">
        <f t="shared" si="28"/>
        <v>5.833333333333333</v>
      </c>
      <c r="J269" s="9">
        <v>110</v>
      </c>
      <c r="K269" s="137">
        <f t="shared" si="27"/>
        <v>78.57142857142857</v>
      </c>
    </row>
    <row r="270" spans="4:11" ht="19.5" thickBot="1">
      <c r="D270" s="9">
        <v>10</v>
      </c>
      <c r="E270" s="137">
        <f t="shared" si="28"/>
        <v>8.333333333333334</v>
      </c>
      <c r="J270" s="9">
        <v>81</v>
      </c>
      <c r="K270" s="137">
        <f t="shared" si="27"/>
        <v>57.857142857142854</v>
      </c>
    </row>
    <row r="271" spans="4:11" ht="19.5" thickBot="1">
      <c r="D271" s="9">
        <v>48</v>
      </c>
      <c r="E271" s="137">
        <f t="shared" si="28"/>
        <v>40</v>
      </c>
      <c r="J271" s="9">
        <v>103</v>
      </c>
      <c r="K271" s="137">
        <f t="shared" si="27"/>
        <v>73.57142857142857</v>
      </c>
    </row>
    <row r="272" spans="4:11" ht="19.5" thickBot="1">
      <c r="D272" s="9"/>
      <c r="E272" s="137">
        <f t="shared" si="28"/>
        <v>0</v>
      </c>
      <c r="J272" s="9">
        <v>53</v>
      </c>
      <c r="K272" s="137">
        <f t="shared" si="27"/>
        <v>37.857142857142854</v>
      </c>
    </row>
    <row r="273" spans="4:11" ht="19.5" thickBot="1">
      <c r="D273" s="9">
        <v>24</v>
      </c>
      <c r="E273" s="137">
        <f t="shared" si="28"/>
        <v>20</v>
      </c>
      <c r="J273" s="9">
        <v>69</v>
      </c>
      <c r="K273" s="137">
        <f t="shared" si="27"/>
        <v>49.285714285714285</v>
      </c>
    </row>
    <row r="274" spans="4:11" ht="19.5" thickBot="1">
      <c r="D274" s="9">
        <v>4</v>
      </c>
      <c r="E274" s="137">
        <f t="shared" si="28"/>
        <v>3.3333333333333335</v>
      </c>
      <c r="J274" s="9">
        <v>59</v>
      </c>
      <c r="K274" s="137">
        <f t="shared" si="27"/>
        <v>42.142857142857146</v>
      </c>
    </row>
    <row r="275" spans="4:11" ht="19.5" thickBot="1">
      <c r="D275" s="9">
        <v>7</v>
      </c>
      <c r="E275" s="137">
        <f t="shared" si="28"/>
        <v>5.833333333333333</v>
      </c>
      <c r="J275" s="9">
        <v>60</v>
      </c>
      <c r="K275" s="137">
        <f t="shared" si="27"/>
        <v>42.857142857142854</v>
      </c>
    </row>
    <row r="276" spans="4:11" ht="19.5" thickBot="1">
      <c r="D276" s="9">
        <v>5</v>
      </c>
      <c r="E276" s="137">
        <f t="shared" si="28"/>
        <v>4.166666666666667</v>
      </c>
      <c r="J276" s="9">
        <v>55</v>
      </c>
      <c r="K276" s="137">
        <f t="shared" si="27"/>
        <v>39.285714285714285</v>
      </c>
    </row>
    <row r="277" spans="4:11" ht="19.5" thickBot="1">
      <c r="D277" s="9">
        <v>1.2</v>
      </c>
      <c r="E277" s="137">
        <f t="shared" si="28"/>
        <v>1</v>
      </c>
      <c r="J277" s="9">
        <v>12</v>
      </c>
      <c r="K277" s="137">
        <f t="shared" si="27"/>
        <v>8.571428571428571</v>
      </c>
    </row>
    <row r="278" spans="4:11" ht="19.5" thickBot="1">
      <c r="D278" s="9">
        <v>17</v>
      </c>
      <c r="E278" s="137">
        <f t="shared" si="28"/>
        <v>14.166666666666666</v>
      </c>
      <c r="J278" s="9">
        <v>6</v>
      </c>
      <c r="K278" s="137">
        <f t="shared" si="27"/>
        <v>4.285714285714286</v>
      </c>
    </row>
    <row r="279" spans="4:11" ht="19.5" thickBot="1">
      <c r="D279" s="9">
        <v>5</v>
      </c>
      <c r="E279" s="137">
        <f t="shared" si="28"/>
        <v>4.166666666666667</v>
      </c>
      <c r="J279" s="9" t="s">
        <v>109</v>
      </c>
      <c r="K279" s="137" t="e">
        <f t="shared" si="27"/>
        <v>#VALUE!</v>
      </c>
    </row>
    <row r="280" spans="4:11" ht="19.5" thickBot="1">
      <c r="D280" s="9">
        <v>71</v>
      </c>
      <c r="E280" s="137">
        <f t="shared" si="28"/>
        <v>59.166666666666664</v>
      </c>
      <c r="J280" s="9">
        <v>10</v>
      </c>
      <c r="K280" s="137">
        <f t="shared" si="27"/>
        <v>7.142857142857143</v>
      </c>
    </row>
    <row r="281" spans="4:11" ht="19.5" thickBot="1">
      <c r="D281" s="9">
        <v>4</v>
      </c>
      <c r="E281" s="137">
        <f t="shared" si="28"/>
        <v>3.3333333333333335</v>
      </c>
      <c r="J281" s="9"/>
      <c r="K281" s="137">
        <f t="shared" si="27"/>
        <v>0</v>
      </c>
    </row>
    <row r="282" spans="4:11" ht="19.5" thickBot="1">
      <c r="D282" s="9">
        <v>60</v>
      </c>
      <c r="E282" s="137">
        <f t="shared" si="28"/>
        <v>50</v>
      </c>
      <c r="J282" s="9">
        <v>4</v>
      </c>
      <c r="K282" s="137">
        <f t="shared" si="27"/>
        <v>2.857142857142857</v>
      </c>
    </row>
    <row r="283" spans="4:11" ht="19.5" thickBot="1">
      <c r="D283" s="9">
        <v>60</v>
      </c>
      <c r="E283" s="137">
        <f t="shared" si="28"/>
        <v>50</v>
      </c>
      <c r="J283" s="9">
        <v>4</v>
      </c>
      <c r="K283" s="137">
        <f t="shared" si="27"/>
        <v>2.857142857142857</v>
      </c>
    </row>
    <row r="284" spans="10:11" ht="19.5" thickBot="1">
      <c r="J284" s="9">
        <v>70</v>
      </c>
      <c r="K284" s="137">
        <f t="shared" si="27"/>
        <v>50</v>
      </c>
    </row>
    <row r="285" spans="10:11" ht="19.5" thickBot="1">
      <c r="J285" s="9">
        <v>70</v>
      </c>
      <c r="K285" s="137">
        <f t="shared" si="27"/>
        <v>50</v>
      </c>
    </row>
    <row r="293" ht="19.5" thickBot="1"/>
    <row r="294" spans="3:9" ht="19.5" thickBot="1">
      <c r="C294" s="28">
        <v>196</v>
      </c>
      <c r="D294" s="137">
        <f>C294*150/200</f>
        <v>147</v>
      </c>
      <c r="H294" s="8">
        <v>170</v>
      </c>
      <c r="I294" s="137">
        <f>H294*130/150</f>
        <v>147.33333333333334</v>
      </c>
    </row>
    <row r="295" spans="3:9" ht="19.5" thickBot="1">
      <c r="C295" s="29">
        <v>196</v>
      </c>
      <c r="D295" s="137">
        <f aca="true" t="shared" si="29" ref="D295:D308">C295*150/200</f>
        <v>147</v>
      </c>
      <c r="H295" s="9">
        <v>170</v>
      </c>
      <c r="I295" s="137">
        <f aca="true" t="shared" si="30" ref="I295:I308">H295*130/150</f>
        <v>147.33333333333334</v>
      </c>
    </row>
    <row r="296" spans="3:12" ht="19.5" thickBot="1">
      <c r="C296" s="29">
        <v>189</v>
      </c>
      <c r="D296" s="137">
        <f t="shared" si="29"/>
        <v>141.75</v>
      </c>
      <c r="H296" s="9">
        <v>163</v>
      </c>
      <c r="I296" s="137">
        <f t="shared" si="30"/>
        <v>141.26666666666668</v>
      </c>
      <c r="K296" s="8">
        <v>46</v>
      </c>
      <c r="L296" s="137">
        <f aca="true" t="shared" si="31" ref="L296:L301">K296*80/100</f>
        <v>36.8</v>
      </c>
    </row>
    <row r="297" spans="3:12" ht="19.5" thickBot="1">
      <c r="C297" s="29">
        <v>92</v>
      </c>
      <c r="D297" s="137">
        <f t="shared" si="29"/>
        <v>69</v>
      </c>
      <c r="H297" s="9">
        <v>79</v>
      </c>
      <c r="I297" s="137">
        <f t="shared" si="30"/>
        <v>68.46666666666667</v>
      </c>
      <c r="K297" s="9">
        <v>68</v>
      </c>
      <c r="L297" s="137">
        <f t="shared" si="31"/>
        <v>54.4</v>
      </c>
    </row>
    <row r="298" spans="3:12" ht="19.5" thickBot="1">
      <c r="C298" s="29">
        <v>70</v>
      </c>
      <c r="D298" s="137">
        <f t="shared" si="29"/>
        <v>52.5</v>
      </c>
      <c r="H298" s="9"/>
      <c r="I298" s="137">
        <f t="shared" si="30"/>
        <v>0</v>
      </c>
      <c r="K298" s="9">
        <v>97</v>
      </c>
      <c r="L298" s="137">
        <f t="shared" si="31"/>
        <v>77.6</v>
      </c>
    </row>
    <row r="299" spans="3:15" ht="19.5" thickBot="1">
      <c r="C299" s="29">
        <v>2</v>
      </c>
      <c r="D299" s="137">
        <f t="shared" si="29"/>
        <v>1.5</v>
      </c>
      <c r="H299" s="9">
        <v>1.6</v>
      </c>
      <c r="I299" s="137">
        <f t="shared" si="30"/>
        <v>1.3866666666666667</v>
      </c>
      <c r="K299" s="9">
        <v>3</v>
      </c>
      <c r="L299" s="137">
        <f t="shared" si="31"/>
        <v>2.4</v>
      </c>
      <c r="N299" s="8">
        <v>29</v>
      </c>
      <c r="O299" s="137">
        <f>N299*80/100</f>
        <v>23.2</v>
      </c>
    </row>
    <row r="300" spans="3:15" ht="19.5" thickBot="1">
      <c r="C300" s="29">
        <v>2</v>
      </c>
      <c r="D300" s="137">
        <f t="shared" si="29"/>
        <v>1.5</v>
      </c>
      <c r="H300" s="9">
        <v>1.6</v>
      </c>
      <c r="I300" s="137">
        <f t="shared" si="30"/>
        <v>1.3866666666666667</v>
      </c>
      <c r="K300" s="9">
        <v>100</v>
      </c>
      <c r="L300" s="137">
        <f t="shared" si="31"/>
        <v>80</v>
      </c>
      <c r="N300" s="9">
        <v>174</v>
      </c>
      <c r="O300" s="137">
        <f aca="true" t="shared" si="32" ref="O300:O310">N300*80/100</f>
        <v>139.2</v>
      </c>
    </row>
    <row r="301" spans="3:15" ht="19.5" thickBot="1">
      <c r="C301" s="29">
        <v>11</v>
      </c>
      <c r="D301" s="137">
        <f t="shared" si="29"/>
        <v>8.25</v>
      </c>
      <c r="H301" s="9">
        <v>11</v>
      </c>
      <c r="I301" s="137">
        <f t="shared" si="30"/>
        <v>9.533333333333333</v>
      </c>
      <c r="L301" s="137">
        <f t="shared" si="31"/>
        <v>0</v>
      </c>
      <c r="N301" s="9">
        <v>83</v>
      </c>
      <c r="O301" s="137">
        <f t="shared" si="32"/>
        <v>66.4</v>
      </c>
    </row>
    <row r="302" spans="3:15" ht="19.5" thickBot="1">
      <c r="C302" s="29"/>
      <c r="D302" s="137">
        <f t="shared" si="29"/>
        <v>0</v>
      </c>
      <c r="H302" s="9"/>
      <c r="I302" s="137">
        <f t="shared" si="30"/>
        <v>0</v>
      </c>
      <c r="N302" s="9">
        <v>3</v>
      </c>
      <c r="O302" s="137">
        <f t="shared" si="32"/>
        <v>2.4</v>
      </c>
    </row>
    <row r="303" spans="3:15" ht="19.5" thickBot="1">
      <c r="C303" s="29">
        <v>11</v>
      </c>
      <c r="D303" s="137">
        <f t="shared" si="29"/>
        <v>8.25</v>
      </c>
      <c r="H303" s="9">
        <v>11</v>
      </c>
      <c r="I303" s="137">
        <f t="shared" si="30"/>
        <v>9.533333333333333</v>
      </c>
      <c r="N303" s="9"/>
      <c r="O303" s="137">
        <f t="shared" si="32"/>
        <v>0</v>
      </c>
    </row>
    <row r="304" spans="3:15" ht="19.5" thickBot="1">
      <c r="C304" s="29">
        <v>11</v>
      </c>
      <c r="D304" s="137">
        <f t="shared" si="29"/>
        <v>8.25</v>
      </c>
      <c r="H304" s="9">
        <v>12</v>
      </c>
      <c r="I304" s="137">
        <f t="shared" si="30"/>
        <v>10.4</v>
      </c>
      <c r="N304" s="9">
        <v>16</v>
      </c>
      <c r="O304" s="137">
        <f t="shared" si="32"/>
        <v>12.8</v>
      </c>
    </row>
    <row r="305" spans="3:15" ht="19.5" thickBot="1">
      <c r="C305" s="29">
        <v>49</v>
      </c>
      <c r="D305" s="137">
        <f t="shared" si="29"/>
        <v>36.75</v>
      </c>
      <c r="H305" s="9">
        <v>39</v>
      </c>
      <c r="I305" s="137">
        <f t="shared" si="30"/>
        <v>33.8</v>
      </c>
      <c r="N305" s="9">
        <v>16</v>
      </c>
      <c r="O305" s="137">
        <f t="shared" si="32"/>
        <v>12.8</v>
      </c>
    </row>
    <row r="306" spans="3:15" ht="19.5" thickBot="1">
      <c r="C306" s="29">
        <v>104</v>
      </c>
      <c r="D306" s="137">
        <f t="shared" si="29"/>
        <v>78</v>
      </c>
      <c r="H306" s="9">
        <v>82</v>
      </c>
      <c r="I306" s="137">
        <f t="shared" si="30"/>
        <v>71.06666666666666</v>
      </c>
      <c r="N306" s="9">
        <v>8</v>
      </c>
      <c r="O306" s="137">
        <f t="shared" si="32"/>
        <v>6.4</v>
      </c>
    </row>
    <row r="307" spans="3:15" ht="19.5" thickBot="1">
      <c r="C307" s="29">
        <v>140</v>
      </c>
      <c r="D307" s="137">
        <f t="shared" si="29"/>
        <v>105</v>
      </c>
      <c r="H307" s="4">
        <v>105</v>
      </c>
      <c r="I307" s="137">
        <f t="shared" si="30"/>
        <v>91</v>
      </c>
      <c r="N307" s="9">
        <v>3</v>
      </c>
      <c r="O307" s="137">
        <f t="shared" si="32"/>
        <v>2.4</v>
      </c>
    </row>
    <row r="308" spans="3:15" ht="19.5" thickBot="1">
      <c r="C308" s="29">
        <v>200</v>
      </c>
      <c r="D308" s="137">
        <f t="shared" si="29"/>
        <v>150</v>
      </c>
      <c r="H308" s="4">
        <v>150</v>
      </c>
      <c r="I308" s="137">
        <f t="shared" si="30"/>
        <v>130</v>
      </c>
      <c r="N308" s="9">
        <v>3</v>
      </c>
      <c r="O308" s="137">
        <f t="shared" si="32"/>
        <v>2.4</v>
      </c>
    </row>
    <row r="309" spans="14:15" ht="19.5" thickBot="1">
      <c r="N309" s="9">
        <v>20</v>
      </c>
      <c r="O309" s="137">
        <f t="shared" si="32"/>
        <v>16</v>
      </c>
    </row>
    <row r="310" spans="14:15" ht="19.5" thickBot="1">
      <c r="N310" s="9">
        <v>100</v>
      </c>
      <c r="O310" s="137">
        <f t="shared" si="32"/>
        <v>80</v>
      </c>
    </row>
    <row r="319" ht="19.5" thickBot="1"/>
    <row r="320" spans="5:9" ht="19.5" thickBot="1">
      <c r="E320" s="8">
        <v>158</v>
      </c>
      <c r="F320" s="137">
        <f>E320*130/150</f>
        <v>136.93333333333334</v>
      </c>
      <c r="H320" s="8">
        <v>111</v>
      </c>
      <c r="I320" s="137">
        <f>H320*100/130</f>
        <v>85.38461538461539</v>
      </c>
    </row>
    <row r="321" spans="5:14" ht="19.5" thickBot="1">
      <c r="E321" s="9">
        <v>7</v>
      </c>
      <c r="F321" s="137">
        <f aca="true" t="shared" si="33" ref="F321:F329">E321*130/150</f>
        <v>6.066666666666666</v>
      </c>
      <c r="H321" s="9">
        <v>111</v>
      </c>
      <c r="I321" s="137">
        <f aca="true" t="shared" si="34" ref="I321:I329">H321*100/130</f>
        <v>85.38461538461539</v>
      </c>
      <c r="M321" s="8">
        <v>30</v>
      </c>
      <c r="N321" s="137">
        <f>M321*80/100</f>
        <v>24</v>
      </c>
    </row>
    <row r="322" spans="5:14" ht="19.5" thickBot="1">
      <c r="E322" s="9">
        <v>6</v>
      </c>
      <c r="F322" s="137">
        <f t="shared" si="33"/>
        <v>5.2</v>
      </c>
      <c r="H322" s="9">
        <v>111</v>
      </c>
      <c r="I322" s="137">
        <f t="shared" si="34"/>
        <v>85.38461538461539</v>
      </c>
      <c r="M322" s="9">
        <v>6</v>
      </c>
      <c r="N322" s="137">
        <f aca="true" t="shared" si="35" ref="N322:N332">M322*80/100</f>
        <v>4.8</v>
      </c>
    </row>
    <row r="323" spans="5:14" ht="19.5" thickBot="1">
      <c r="E323" s="9"/>
      <c r="F323" s="137">
        <f t="shared" si="33"/>
        <v>0</v>
      </c>
      <c r="H323" s="9">
        <v>111</v>
      </c>
      <c r="I323" s="137">
        <f t="shared" si="34"/>
        <v>85.38461538461539</v>
      </c>
      <c r="M323" s="9">
        <v>8</v>
      </c>
      <c r="N323" s="137">
        <f t="shared" si="35"/>
        <v>6.4</v>
      </c>
    </row>
    <row r="324" spans="5:14" ht="19.5" thickBot="1">
      <c r="E324" s="9">
        <v>13</v>
      </c>
      <c r="F324" s="137">
        <f t="shared" si="33"/>
        <v>11.266666666666667</v>
      </c>
      <c r="H324" s="9">
        <v>21</v>
      </c>
      <c r="I324" s="137">
        <f t="shared" si="34"/>
        <v>16.153846153846153</v>
      </c>
      <c r="M324" s="9">
        <v>2</v>
      </c>
      <c r="N324" s="137">
        <f t="shared" si="35"/>
        <v>1.6</v>
      </c>
    </row>
    <row r="325" spans="5:14" ht="19.5" thickBot="1">
      <c r="E325" s="9">
        <v>13</v>
      </c>
      <c r="F325" s="137">
        <f t="shared" si="33"/>
        <v>11.266666666666667</v>
      </c>
      <c r="H325" s="9">
        <v>20</v>
      </c>
      <c r="I325" s="137">
        <f t="shared" si="34"/>
        <v>15.384615384615385</v>
      </c>
      <c r="M325" s="9"/>
      <c r="N325" s="137">
        <f t="shared" si="35"/>
        <v>0</v>
      </c>
    </row>
    <row r="326" spans="5:14" ht="19.5" thickBot="1">
      <c r="E326" s="9">
        <v>7</v>
      </c>
      <c r="F326" s="137">
        <f t="shared" si="33"/>
        <v>6.066666666666666</v>
      </c>
      <c r="H326" s="9">
        <v>4</v>
      </c>
      <c r="I326" s="137">
        <f t="shared" si="34"/>
        <v>3.076923076923077</v>
      </c>
      <c r="M326" s="9">
        <v>16</v>
      </c>
      <c r="N326" s="137">
        <f t="shared" si="35"/>
        <v>12.8</v>
      </c>
    </row>
    <row r="327" spans="5:14" ht="19.5" thickBot="1">
      <c r="E327" s="9">
        <v>1.7</v>
      </c>
      <c r="F327" s="137">
        <f t="shared" si="33"/>
        <v>1.4733333333333334</v>
      </c>
      <c r="H327" s="9">
        <v>130</v>
      </c>
      <c r="I327" s="137">
        <f t="shared" si="34"/>
        <v>100</v>
      </c>
      <c r="M327" s="9">
        <v>16</v>
      </c>
      <c r="N327" s="137">
        <f t="shared" si="35"/>
        <v>12.8</v>
      </c>
    </row>
    <row r="328" spans="5:14" ht="19.5" thickBot="1">
      <c r="E328" s="9">
        <v>5</v>
      </c>
      <c r="F328" s="137">
        <f t="shared" si="33"/>
        <v>4.333333333333333</v>
      </c>
      <c r="H328" s="4">
        <v>4</v>
      </c>
      <c r="I328" s="137">
        <f t="shared" si="34"/>
        <v>3.076923076923077</v>
      </c>
      <c r="M328" s="9">
        <v>8</v>
      </c>
      <c r="N328" s="137">
        <f t="shared" si="35"/>
        <v>6.4</v>
      </c>
    </row>
    <row r="329" spans="5:14" ht="19.5" thickBot="1">
      <c r="E329" s="9">
        <v>150</v>
      </c>
      <c r="F329" s="137">
        <f t="shared" si="33"/>
        <v>130</v>
      </c>
      <c r="H329" s="4">
        <v>130</v>
      </c>
      <c r="I329" s="137">
        <f t="shared" si="34"/>
        <v>100</v>
      </c>
      <c r="M329" s="9">
        <v>3</v>
      </c>
      <c r="N329" s="137">
        <f t="shared" si="35"/>
        <v>2.4</v>
      </c>
    </row>
    <row r="330" spans="13:14" ht="19.5" thickBot="1">
      <c r="M330" s="9">
        <v>3</v>
      </c>
      <c r="N330" s="137">
        <f t="shared" si="35"/>
        <v>2.4</v>
      </c>
    </row>
    <row r="331" spans="13:14" ht="19.5" thickBot="1">
      <c r="M331" s="9">
        <v>20</v>
      </c>
      <c r="N331" s="137">
        <f t="shared" si="35"/>
        <v>16</v>
      </c>
    </row>
    <row r="332" spans="13:14" ht="19.5" thickBot="1">
      <c r="M332" s="9">
        <v>100</v>
      </c>
      <c r="N332" s="137">
        <f t="shared" si="35"/>
        <v>80</v>
      </c>
    </row>
    <row r="339" ht="19.5" thickBot="1"/>
    <row r="340" spans="4:5" ht="19.5" thickBot="1">
      <c r="D340" s="8">
        <v>196</v>
      </c>
      <c r="E340" s="137">
        <f>D340*80/160</f>
        <v>98</v>
      </c>
    </row>
    <row r="341" spans="4:17" ht="19.5" thickBot="1">
      <c r="D341" s="9">
        <v>208</v>
      </c>
      <c r="E341" s="137">
        <f aca="true" t="shared" si="36" ref="E341:E349">D341*80/160</f>
        <v>104</v>
      </c>
      <c r="G341" s="3">
        <v>98</v>
      </c>
      <c r="H341" s="137">
        <f>G341*100/80</f>
        <v>122.5</v>
      </c>
      <c r="M341" s="8">
        <v>72</v>
      </c>
      <c r="N341" s="137">
        <f>M341*100/150</f>
        <v>48</v>
      </c>
      <c r="P341" s="3">
        <v>48</v>
      </c>
      <c r="Q341" s="137">
        <f>P341*130/100</f>
        <v>62.4</v>
      </c>
    </row>
    <row r="342" spans="4:17" ht="19.5" thickBot="1">
      <c r="D342" s="9">
        <v>153</v>
      </c>
      <c r="E342" s="137">
        <f t="shared" si="36"/>
        <v>76.5</v>
      </c>
      <c r="G342" s="4">
        <v>104</v>
      </c>
      <c r="H342" s="137">
        <f aca="true" t="shared" si="37" ref="H342:H350">G342*100/80</f>
        <v>130</v>
      </c>
      <c r="J342" s="8">
        <v>32</v>
      </c>
      <c r="K342" s="137">
        <f>J342*80/100</f>
        <v>25.6</v>
      </c>
      <c r="M342" s="9">
        <v>72</v>
      </c>
      <c r="N342" s="137">
        <f aca="true" t="shared" si="38" ref="N342:N352">M342*100/150</f>
        <v>48</v>
      </c>
      <c r="P342" s="4">
        <v>48</v>
      </c>
      <c r="Q342" s="137">
        <f aca="true" t="shared" si="39" ref="Q342:Q352">P342*130/100</f>
        <v>62.4</v>
      </c>
    </row>
    <row r="343" spans="4:17" ht="19.5" thickBot="1">
      <c r="D343" s="9">
        <v>4</v>
      </c>
      <c r="E343" s="137">
        <f t="shared" si="36"/>
        <v>2</v>
      </c>
      <c r="G343" s="4">
        <v>77</v>
      </c>
      <c r="H343" s="137">
        <f t="shared" si="37"/>
        <v>96.25</v>
      </c>
      <c r="J343" s="9">
        <v>78</v>
      </c>
      <c r="K343" s="137">
        <f>J343*80/100</f>
        <v>62.4</v>
      </c>
      <c r="M343" s="9">
        <v>72</v>
      </c>
      <c r="N343" s="137">
        <f t="shared" si="38"/>
        <v>48</v>
      </c>
      <c r="P343" s="4">
        <v>48</v>
      </c>
      <c r="Q343" s="137">
        <f t="shared" si="39"/>
        <v>62.4</v>
      </c>
    </row>
    <row r="344" spans="4:17" ht="19.5" thickBot="1">
      <c r="D344" s="9"/>
      <c r="E344" s="137">
        <f t="shared" si="36"/>
        <v>0</v>
      </c>
      <c r="G344" s="4">
        <v>2</v>
      </c>
      <c r="H344" s="137">
        <f t="shared" si="37"/>
        <v>2.5</v>
      </c>
      <c r="J344" s="9">
        <v>97</v>
      </c>
      <c r="K344" s="137">
        <f>J344*80/100</f>
        <v>77.6</v>
      </c>
      <c r="M344" s="9">
        <v>72</v>
      </c>
      <c r="N344" s="137">
        <f t="shared" si="38"/>
        <v>48</v>
      </c>
      <c r="P344" s="4">
        <v>48</v>
      </c>
      <c r="Q344" s="137">
        <f t="shared" si="39"/>
        <v>62.4</v>
      </c>
    </row>
    <row r="345" spans="4:17" ht="19.5" thickBot="1">
      <c r="D345" s="9">
        <v>41</v>
      </c>
      <c r="E345" s="137">
        <f t="shared" si="36"/>
        <v>20.5</v>
      </c>
      <c r="G345" s="4"/>
      <c r="H345" s="137">
        <f t="shared" si="37"/>
        <v>0</v>
      </c>
      <c r="J345" s="9">
        <v>3</v>
      </c>
      <c r="K345" s="137">
        <f>J345*80/100</f>
        <v>2.4</v>
      </c>
      <c r="M345" s="9"/>
      <c r="N345" s="137">
        <f t="shared" si="38"/>
        <v>0</v>
      </c>
      <c r="P345" s="4"/>
      <c r="Q345" s="137">
        <f t="shared" si="39"/>
        <v>0</v>
      </c>
    </row>
    <row r="346" spans="4:17" ht="19.5" thickBot="1">
      <c r="D346" s="9">
        <v>4</v>
      </c>
      <c r="E346" s="137">
        <f t="shared" si="36"/>
        <v>2</v>
      </c>
      <c r="G346" s="4">
        <v>21</v>
      </c>
      <c r="H346" s="137">
        <f t="shared" si="37"/>
        <v>26.25</v>
      </c>
      <c r="J346" s="9">
        <v>100</v>
      </c>
      <c r="K346" s="137">
        <f>J346*80/100</f>
        <v>80</v>
      </c>
      <c r="M346" s="9">
        <v>24</v>
      </c>
      <c r="N346" s="137">
        <f t="shared" si="38"/>
        <v>16</v>
      </c>
      <c r="P346" s="4">
        <v>16</v>
      </c>
      <c r="Q346" s="137">
        <f t="shared" si="39"/>
        <v>20.8</v>
      </c>
    </row>
    <row r="347" spans="4:17" ht="19.5" thickBot="1">
      <c r="D347" s="9">
        <v>4</v>
      </c>
      <c r="E347" s="137">
        <f t="shared" si="36"/>
        <v>2</v>
      </c>
      <c r="G347" s="4">
        <v>2</v>
      </c>
      <c r="H347" s="137">
        <f t="shared" si="37"/>
        <v>2.5</v>
      </c>
      <c r="M347" s="9">
        <v>24</v>
      </c>
      <c r="N347" s="137">
        <f t="shared" si="38"/>
        <v>16</v>
      </c>
      <c r="P347" s="4">
        <v>16</v>
      </c>
      <c r="Q347" s="137">
        <f t="shared" si="39"/>
        <v>20.8</v>
      </c>
    </row>
    <row r="348" spans="4:17" ht="19.5" thickBot="1">
      <c r="D348" s="9">
        <v>41</v>
      </c>
      <c r="E348" s="137">
        <f t="shared" si="36"/>
        <v>20.5</v>
      </c>
      <c r="G348" s="4">
        <v>2</v>
      </c>
      <c r="H348" s="137">
        <f t="shared" si="37"/>
        <v>2.5</v>
      </c>
      <c r="M348" s="9">
        <v>12</v>
      </c>
      <c r="N348" s="137">
        <f t="shared" si="38"/>
        <v>8</v>
      </c>
      <c r="P348" s="4">
        <v>8</v>
      </c>
      <c r="Q348" s="137">
        <f t="shared" si="39"/>
        <v>10.4</v>
      </c>
    </row>
    <row r="349" spans="4:17" ht="19.5" thickBot="1">
      <c r="D349" s="9">
        <v>160</v>
      </c>
      <c r="E349" s="137">
        <f t="shared" si="36"/>
        <v>80</v>
      </c>
      <c r="G349" s="4">
        <v>20.5</v>
      </c>
      <c r="H349" s="137">
        <f t="shared" si="37"/>
        <v>25.625</v>
      </c>
      <c r="M349" s="9">
        <v>30</v>
      </c>
      <c r="N349" s="137">
        <f t="shared" si="38"/>
        <v>20</v>
      </c>
      <c r="P349" s="4">
        <v>20</v>
      </c>
      <c r="Q349" s="137">
        <f t="shared" si="39"/>
        <v>26</v>
      </c>
    </row>
    <row r="350" spans="7:17" ht="19.5" thickBot="1">
      <c r="G350" s="4">
        <v>80</v>
      </c>
      <c r="H350" s="137">
        <f t="shared" si="37"/>
        <v>100</v>
      </c>
      <c r="M350" s="9">
        <v>79</v>
      </c>
      <c r="N350" s="137">
        <f t="shared" si="38"/>
        <v>52.666666666666664</v>
      </c>
      <c r="P350" s="4">
        <v>53</v>
      </c>
      <c r="Q350" s="137">
        <f t="shared" si="39"/>
        <v>68.9</v>
      </c>
    </row>
    <row r="351" spans="13:17" ht="19.5" thickBot="1">
      <c r="M351" s="9">
        <v>6</v>
      </c>
      <c r="N351" s="137">
        <f t="shared" si="38"/>
        <v>4</v>
      </c>
      <c r="P351" s="4">
        <v>4</v>
      </c>
      <c r="Q351" s="137">
        <f t="shared" si="39"/>
        <v>5.2</v>
      </c>
    </row>
    <row r="352" spans="13:17" ht="19.5" thickBot="1">
      <c r="M352" s="9">
        <v>150</v>
      </c>
      <c r="N352" s="137">
        <f t="shared" si="38"/>
        <v>100</v>
      </c>
      <c r="P352" s="4">
        <v>100</v>
      </c>
      <c r="Q352" s="137">
        <f t="shared" si="39"/>
        <v>130</v>
      </c>
    </row>
    <row r="361" ht="19.5" thickBot="1"/>
    <row r="362" spans="9:10" ht="19.5" thickBot="1">
      <c r="I362" s="8">
        <v>112</v>
      </c>
      <c r="J362" s="137">
        <f>I362*50/70</f>
        <v>80</v>
      </c>
    </row>
    <row r="363" spans="9:16" ht="19.5" thickBot="1">
      <c r="I363" s="9">
        <v>94</v>
      </c>
      <c r="J363" s="137">
        <f aca="true" t="shared" si="40" ref="J363:J384">I363*50/70</f>
        <v>67.14285714285714</v>
      </c>
      <c r="L363" s="8">
        <v>104</v>
      </c>
      <c r="M363" s="137">
        <f>L363*80/100</f>
        <v>83.2</v>
      </c>
      <c r="O363" s="8">
        <v>60</v>
      </c>
      <c r="P363" s="137">
        <f>O363*50/70</f>
        <v>42.857142857142854</v>
      </c>
    </row>
    <row r="364" spans="5:16" ht="19.5" thickBot="1">
      <c r="E364" s="8">
        <v>82</v>
      </c>
      <c r="F364" s="137">
        <f>E364*25/45</f>
        <v>45.55555555555556</v>
      </c>
      <c r="I364" s="9">
        <v>108</v>
      </c>
      <c r="J364" s="137">
        <f t="shared" si="40"/>
        <v>77.14285714285714</v>
      </c>
      <c r="L364" s="9">
        <v>104</v>
      </c>
      <c r="M364" s="137">
        <f aca="true" t="shared" si="41" ref="M364:M372">L364*80/100</f>
        <v>83.2</v>
      </c>
      <c r="O364" s="9">
        <v>60</v>
      </c>
      <c r="P364" s="137">
        <f aca="true" t="shared" si="42" ref="P364:P381">O364*50/70</f>
        <v>42.857142857142854</v>
      </c>
    </row>
    <row r="365" spans="5:16" ht="19.5" thickBot="1">
      <c r="E365" s="9">
        <v>66</v>
      </c>
      <c r="F365" s="137">
        <f>E365*25/45</f>
        <v>36.666666666666664</v>
      </c>
      <c r="I365" s="9">
        <v>94</v>
      </c>
      <c r="J365" s="137">
        <f t="shared" si="40"/>
        <v>67.14285714285714</v>
      </c>
      <c r="L365" s="9">
        <v>104</v>
      </c>
      <c r="M365" s="137">
        <f t="shared" si="41"/>
        <v>83.2</v>
      </c>
      <c r="O365" s="9">
        <v>60</v>
      </c>
      <c r="P365" s="137">
        <f t="shared" si="42"/>
        <v>42.857142857142854</v>
      </c>
    </row>
    <row r="366" spans="5:16" ht="19.5" thickBot="1">
      <c r="E366" s="9">
        <v>45</v>
      </c>
      <c r="F366" s="137">
        <f>E366*25/45</f>
        <v>25</v>
      </c>
      <c r="I366" s="9">
        <v>123</v>
      </c>
      <c r="J366" s="137">
        <f t="shared" si="40"/>
        <v>87.85714285714286</v>
      </c>
      <c r="L366" s="9">
        <v>104</v>
      </c>
      <c r="M366" s="137">
        <f t="shared" si="41"/>
        <v>83.2</v>
      </c>
      <c r="O366" s="9">
        <v>60</v>
      </c>
      <c r="P366" s="137">
        <f t="shared" si="42"/>
        <v>42.857142857142854</v>
      </c>
    </row>
    <row r="367" spans="5:16" ht="19.5" thickBot="1">
      <c r="E367" s="9">
        <v>45</v>
      </c>
      <c r="F367" s="137">
        <f>E367*25/45</f>
        <v>25</v>
      </c>
      <c r="I367" s="9">
        <v>91</v>
      </c>
      <c r="J367" s="137">
        <f t="shared" si="40"/>
        <v>65</v>
      </c>
      <c r="L367" s="9">
        <v>4</v>
      </c>
      <c r="M367" s="137">
        <f t="shared" si="41"/>
        <v>3.2</v>
      </c>
      <c r="O367" s="9">
        <v>60</v>
      </c>
      <c r="P367" s="137">
        <f t="shared" si="42"/>
        <v>42.857142857142854</v>
      </c>
    </row>
    <row r="368" spans="9:16" ht="19.5" thickBot="1">
      <c r="I368" s="9">
        <v>116</v>
      </c>
      <c r="J368" s="137">
        <f t="shared" si="40"/>
        <v>82.85714285714286</v>
      </c>
      <c r="L368" s="9">
        <v>4</v>
      </c>
      <c r="M368" s="137">
        <f t="shared" si="41"/>
        <v>3.2</v>
      </c>
      <c r="O368" s="9">
        <v>60</v>
      </c>
      <c r="P368" s="137">
        <f t="shared" si="42"/>
        <v>42.857142857142854</v>
      </c>
    </row>
    <row r="369" spans="9:16" ht="19.5" thickBot="1">
      <c r="I369" s="9">
        <v>60</v>
      </c>
      <c r="J369" s="137">
        <f t="shared" si="40"/>
        <v>42.857142857142854</v>
      </c>
      <c r="L369" s="9">
        <v>3</v>
      </c>
      <c r="M369" s="137">
        <f t="shared" si="41"/>
        <v>2.4</v>
      </c>
      <c r="O369" s="9">
        <v>60</v>
      </c>
      <c r="P369" s="137">
        <f t="shared" si="42"/>
        <v>42.857142857142854</v>
      </c>
    </row>
    <row r="370" spans="9:16" ht="19.5" thickBot="1">
      <c r="I370" s="9">
        <v>77</v>
      </c>
      <c r="J370" s="137">
        <f t="shared" si="40"/>
        <v>55</v>
      </c>
      <c r="L370" s="9">
        <v>110</v>
      </c>
      <c r="M370" s="137">
        <f t="shared" si="41"/>
        <v>88</v>
      </c>
      <c r="O370" s="9">
        <v>60</v>
      </c>
      <c r="P370" s="137">
        <f t="shared" si="42"/>
        <v>42.857142857142854</v>
      </c>
    </row>
    <row r="371" spans="9:16" ht="19.5" thickBot="1">
      <c r="I371" s="9">
        <v>66</v>
      </c>
      <c r="J371" s="137">
        <f t="shared" si="40"/>
        <v>47.142857142857146</v>
      </c>
      <c r="L371" s="9">
        <v>3</v>
      </c>
      <c r="M371" s="137">
        <f t="shared" si="41"/>
        <v>2.4</v>
      </c>
      <c r="O371" s="9">
        <v>60</v>
      </c>
      <c r="P371" s="137">
        <f t="shared" si="42"/>
        <v>42.857142857142854</v>
      </c>
    </row>
    <row r="372" spans="9:16" ht="19.5" thickBot="1">
      <c r="I372" s="9">
        <v>72</v>
      </c>
      <c r="J372" s="137">
        <f t="shared" si="40"/>
        <v>51.42857142857143</v>
      </c>
      <c r="L372" s="9">
        <v>100</v>
      </c>
      <c r="M372" s="137">
        <f t="shared" si="41"/>
        <v>80</v>
      </c>
      <c r="O372" s="9">
        <v>60</v>
      </c>
      <c r="P372" s="137">
        <f t="shared" si="42"/>
        <v>42.857142857142854</v>
      </c>
    </row>
    <row r="373" spans="9:16" ht="19.5" thickBot="1">
      <c r="I373" s="9">
        <v>64</v>
      </c>
      <c r="J373" s="137">
        <f t="shared" si="40"/>
        <v>45.714285714285715</v>
      </c>
      <c r="O373" s="9">
        <v>60</v>
      </c>
      <c r="P373" s="137">
        <f t="shared" si="42"/>
        <v>42.857142857142854</v>
      </c>
    </row>
    <row r="374" spans="9:16" ht="19.5" thickBot="1">
      <c r="I374" s="9">
        <v>14</v>
      </c>
      <c r="J374" s="137">
        <f t="shared" si="40"/>
        <v>10</v>
      </c>
      <c r="O374" s="9">
        <v>60</v>
      </c>
      <c r="P374" s="137">
        <f t="shared" si="42"/>
        <v>42.857142857142854</v>
      </c>
    </row>
    <row r="375" spans="9:16" ht="19.5" thickBot="1">
      <c r="I375" s="9"/>
      <c r="J375" s="137">
        <f t="shared" si="40"/>
        <v>0</v>
      </c>
      <c r="O375" s="9">
        <v>9</v>
      </c>
      <c r="P375" s="137">
        <f t="shared" si="42"/>
        <v>6.428571428571429</v>
      </c>
    </row>
    <row r="376" spans="9:16" ht="19.5" thickBot="1">
      <c r="I376" s="9">
        <v>8</v>
      </c>
      <c r="J376" s="137">
        <f t="shared" si="40"/>
        <v>5.714285714285714</v>
      </c>
      <c r="O376" s="9">
        <v>6</v>
      </c>
      <c r="P376" s="137">
        <f t="shared" si="42"/>
        <v>4.285714285714286</v>
      </c>
    </row>
    <row r="377" spans="9:16" ht="19.5" thickBot="1">
      <c r="I377" s="9">
        <v>8</v>
      </c>
      <c r="J377" s="137">
        <f t="shared" si="40"/>
        <v>5.714285714285714</v>
      </c>
      <c r="O377" s="9">
        <v>15</v>
      </c>
      <c r="P377" s="137">
        <f t="shared" si="42"/>
        <v>10.714285714285714</v>
      </c>
    </row>
    <row r="378" spans="9:16" ht="19.5" thickBot="1">
      <c r="I378" s="9">
        <v>6</v>
      </c>
      <c r="J378" s="137">
        <f t="shared" si="40"/>
        <v>4.285714285714286</v>
      </c>
      <c r="O378" s="9">
        <v>2.6</v>
      </c>
      <c r="P378" s="137">
        <f t="shared" si="42"/>
        <v>1.8571428571428572</v>
      </c>
    </row>
    <row r="379" spans="9:16" ht="19.5" thickBot="1">
      <c r="I379" s="9">
        <v>3.5</v>
      </c>
      <c r="J379" s="137">
        <f t="shared" si="40"/>
        <v>2.5</v>
      </c>
      <c r="O379" s="9">
        <v>88</v>
      </c>
      <c r="P379" s="137">
        <f t="shared" si="42"/>
        <v>62.857142857142854</v>
      </c>
    </row>
    <row r="380" spans="9:16" ht="19.5" thickBot="1">
      <c r="I380" s="9">
        <v>4</v>
      </c>
      <c r="J380" s="137">
        <f t="shared" si="40"/>
        <v>2.857142857142857</v>
      </c>
      <c r="O380" s="9">
        <v>70</v>
      </c>
      <c r="P380" s="137">
        <f t="shared" si="42"/>
        <v>50</v>
      </c>
    </row>
    <row r="381" spans="9:16" ht="19.5" thickBot="1">
      <c r="I381" s="9">
        <v>1.2</v>
      </c>
      <c r="J381" s="137">
        <f t="shared" si="40"/>
        <v>0.8571428571428571</v>
      </c>
      <c r="O381" s="9">
        <v>70</v>
      </c>
      <c r="P381" s="137">
        <f t="shared" si="42"/>
        <v>50</v>
      </c>
    </row>
    <row r="382" spans="9:10" ht="19.5" thickBot="1">
      <c r="I382" s="9">
        <v>35</v>
      </c>
      <c r="J382" s="137">
        <f t="shared" si="40"/>
        <v>25</v>
      </c>
    </row>
    <row r="383" spans="9:10" ht="19.5" thickBot="1">
      <c r="I383" s="9">
        <v>70</v>
      </c>
      <c r="J383" s="137">
        <f t="shared" si="40"/>
        <v>50</v>
      </c>
    </row>
    <row r="384" spans="9:10" ht="19.5" thickBot="1">
      <c r="I384" s="9">
        <v>70</v>
      </c>
      <c r="J384" s="137">
        <f t="shared" si="40"/>
        <v>50</v>
      </c>
    </row>
    <row r="392" ht="19.5" thickBot="1"/>
    <row r="393" spans="9:10" ht="19.5" thickBot="1">
      <c r="I393" s="8">
        <v>115</v>
      </c>
      <c r="J393" s="137">
        <f>I393*50/70</f>
        <v>82.14285714285714</v>
      </c>
    </row>
    <row r="394" spans="5:13" ht="19.5" thickBot="1">
      <c r="E394" s="8">
        <v>129</v>
      </c>
      <c r="F394" s="137">
        <f>E394*50/70</f>
        <v>92.14285714285714</v>
      </c>
      <c r="I394" s="9">
        <v>115</v>
      </c>
      <c r="J394" s="137">
        <f aca="true" t="shared" si="43" ref="J394:J406">I394*50/70</f>
        <v>82.14285714285714</v>
      </c>
      <c r="L394" s="5">
        <v>213</v>
      </c>
      <c r="M394" s="137">
        <f>L394*150/200</f>
        <v>159.75</v>
      </c>
    </row>
    <row r="395" spans="5:16" ht="19.5" thickBot="1">
      <c r="E395" s="9">
        <v>109</v>
      </c>
      <c r="F395" s="137">
        <f aca="true" t="shared" si="44" ref="F395:F412">E395*50/70</f>
        <v>77.85714285714286</v>
      </c>
      <c r="I395" s="9">
        <v>115</v>
      </c>
      <c r="J395" s="137">
        <f t="shared" si="43"/>
        <v>82.14285714285714</v>
      </c>
      <c r="L395" s="6">
        <v>40</v>
      </c>
      <c r="M395" s="137">
        <f aca="true" t="shared" si="45" ref="M395:M403">L395*150/200</f>
        <v>30</v>
      </c>
      <c r="O395" s="8">
        <v>26</v>
      </c>
      <c r="P395" s="137">
        <f>O395*50/60</f>
        <v>21.666666666666668</v>
      </c>
    </row>
    <row r="396" spans="5:16" ht="19.5" thickBot="1">
      <c r="E396" s="9">
        <v>125</v>
      </c>
      <c r="F396" s="137">
        <f t="shared" si="44"/>
        <v>89.28571428571429</v>
      </c>
      <c r="I396" s="9">
        <v>59</v>
      </c>
      <c r="J396" s="137">
        <f t="shared" si="43"/>
        <v>42.142857142857146</v>
      </c>
      <c r="L396" s="6">
        <v>20</v>
      </c>
      <c r="M396" s="137">
        <f t="shared" si="45"/>
        <v>15</v>
      </c>
      <c r="O396" s="9">
        <v>32</v>
      </c>
      <c r="P396" s="137">
        <f aca="true" t="shared" si="46" ref="P396:P406">O396*50/60</f>
        <v>26.666666666666668</v>
      </c>
    </row>
    <row r="397" spans="5:16" ht="19.5" thickBot="1">
      <c r="E397" s="9">
        <v>109</v>
      </c>
      <c r="F397" s="137">
        <f t="shared" si="44"/>
        <v>77.85714285714286</v>
      </c>
      <c r="I397" s="9">
        <v>47</v>
      </c>
      <c r="J397" s="137">
        <f t="shared" si="43"/>
        <v>33.57142857142857</v>
      </c>
      <c r="L397" s="6">
        <v>27</v>
      </c>
      <c r="M397" s="137">
        <f t="shared" si="45"/>
        <v>20.25</v>
      </c>
      <c r="O397" s="9">
        <v>4</v>
      </c>
      <c r="P397" s="137">
        <f t="shared" si="46"/>
        <v>3.3333333333333335</v>
      </c>
    </row>
    <row r="398" spans="5:16" ht="19.5" thickBot="1">
      <c r="E398" s="9">
        <v>141</v>
      </c>
      <c r="F398" s="137">
        <f t="shared" si="44"/>
        <v>100.71428571428571</v>
      </c>
      <c r="I398" s="9">
        <v>13</v>
      </c>
      <c r="J398" s="137">
        <f t="shared" si="43"/>
        <v>9.285714285714286</v>
      </c>
      <c r="L398" s="6">
        <v>16</v>
      </c>
      <c r="M398" s="137">
        <f t="shared" si="45"/>
        <v>12</v>
      </c>
      <c r="O398" s="9">
        <v>8</v>
      </c>
      <c r="P398" s="137">
        <f t="shared" si="46"/>
        <v>6.666666666666667</v>
      </c>
    </row>
    <row r="399" spans="5:16" ht="19.5" thickBot="1">
      <c r="E399" s="9">
        <v>106</v>
      </c>
      <c r="F399" s="137">
        <f t="shared" si="44"/>
        <v>75.71428571428571</v>
      </c>
      <c r="I399" s="9">
        <v>20</v>
      </c>
      <c r="J399" s="137">
        <f t="shared" si="43"/>
        <v>14.285714285714286</v>
      </c>
      <c r="L399" s="6">
        <v>4</v>
      </c>
      <c r="M399" s="137">
        <f t="shared" si="45"/>
        <v>3</v>
      </c>
      <c r="O399" s="9">
        <v>4</v>
      </c>
      <c r="P399" s="137">
        <f t="shared" si="46"/>
        <v>3.3333333333333335</v>
      </c>
    </row>
    <row r="400" spans="5:16" ht="19.5" thickBot="1">
      <c r="E400" s="9">
        <v>134</v>
      </c>
      <c r="F400" s="137">
        <f t="shared" si="44"/>
        <v>95.71428571428571</v>
      </c>
      <c r="I400" s="9">
        <v>15</v>
      </c>
      <c r="J400" s="137">
        <f t="shared" si="43"/>
        <v>10.714285714285714</v>
      </c>
      <c r="L400" s="6">
        <v>240</v>
      </c>
      <c r="M400" s="137">
        <f t="shared" si="45"/>
        <v>180</v>
      </c>
      <c r="O400" s="9">
        <v>0.8</v>
      </c>
      <c r="P400" s="137">
        <f t="shared" si="46"/>
        <v>0.6666666666666666</v>
      </c>
    </row>
    <row r="401" spans="5:16" ht="19.5" thickBot="1">
      <c r="E401" s="9">
        <v>69</v>
      </c>
      <c r="F401" s="137">
        <f t="shared" si="44"/>
        <v>49.285714285714285</v>
      </c>
      <c r="I401" s="9">
        <v>3</v>
      </c>
      <c r="J401" s="137">
        <f t="shared" si="43"/>
        <v>2.142857142857143</v>
      </c>
      <c r="L401" s="6">
        <v>4</v>
      </c>
      <c r="M401" s="137">
        <f t="shared" si="45"/>
        <v>3</v>
      </c>
      <c r="O401" s="9">
        <v>2</v>
      </c>
      <c r="P401" s="137">
        <f t="shared" si="46"/>
        <v>1.6666666666666667</v>
      </c>
    </row>
    <row r="402" spans="5:16" ht="19.5" thickBot="1">
      <c r="E402" s="9">
        <v>89</v>
      </c>
      <c r="F402" s="137">
        <f t="shared" si="44"/>
        <v>63.57142857142857</v>
      </c>
      <c r="I402" s="9">
        <v>3</v>
      </c>
      <c r="J402" s="137">
        <f t="shared" si="43"/>
        <v>2.142857142857143</v>
      </c>
      <c r="L402" s="6">
        <v>200</v>
      </c>
      <c r="M402" s="137">
        <f t="shared" si="45"/>
        <v>150</v>
      </c>
      <c r="O402" s="9">
        <v>36</v>
      </c>
      <c r="P402" s="137">
        <f t="shared" si="46"/>
        <v>30</v>
      </c>
    </row>
    <row r="403" spans="5:16" ht="19.5" thickBot="1">
      <c r="E403" s="9">
        <v>77</v>
      </c>
      <c r="F403" s="137">
        <f t="shared" si="44"/>
        <v>55</v>
      </c>
      <c r="I403" s="9">
        <v>3</v>
      </c>
      <c r="J403" s="137">
        <f t="shared" si="43"/>
        <v>2.142857142857143</v>
      </c>
      <c r="L403" s="6">
        <v>3</v>
      </c>
      <c r="M403" s="137">
        <f t="shared" si="45"/>
        <v>2.25</v>
      </c>
      <c r="O403" s="9">
        <v>34</v>
      </c>
      <c r="P403" s="137">
        <f t="shared" si="46"/>
        <v>28.333333333333332</v>
      </c>
    </row>
    <row r="404" spans="5:16" ht="19.5" thickBot="1">
      <c r="E404" s="9">
        <v>83</v>
      </c>
      <c r="F404" s="137">
        <f t="shared" si="44"/>
        <v>59.285714285714285</v>
      </c>
      <c r="I404" s="9">
        <v>75</v>
      </c>
      <c r="J404" s="137">
        <f t="shared" si="43"/>
        <v>53.57142857142857</v>
      </c>
      <c r="O404" s="9">
        <v>67</v>
      </c>
      <c r="P404" s="137">
        <f t="shared" si="46"/>
        <v>55.833333333333336</v>
      </c>
    </row>
    <row r="405" spans="5:16" ht="19.5" thickBot="1">
      <c r="E405" s="9">
        <v>73</v>
      </c>
      <c r="F405" s="137">
        <f t="shared" si="44"/>
        <v>52.142857142857146</v>
      </c>
      <c r="I405" s="9">
        <v>1</v>
      </c>
      <c r="J405" s="137">
        <f t="shared" si="43"/>
        <v>0.7142857142857143</v>
      </c>
      <c r="O405" s="9">
        <v>2.5</v>
      </c>
      <c r="P405" s="137">
        <f t="shared" si="46"/>
        <v>2.0833333333333335</v>
      </c>
    </row>
    <row r="406" spans="5:16" ht="19.5" thickBot="1">
      <c r="E406" s="9">
        <v>9</v>
      </c>
      <c r="F406" s="137">
        <f t="shared" si="44"/>
        <v>6.428571428571429</v>
      </c>
      <c r="I406" s="9">
        <v>70</v>
      </c>
      <c r="J406" s="137">
        <f t="shared" si="43"/>
        <v>50</v>
      </c>
      <c r="O406" s="9">
        <v>60</v>
      </c>
      <c r="P406" s="137">
        <f t="shared" si="46"/>
        <v>50</v>
      </c>
    </row>
    <row r="407" spans="5:6" ht="19.5" thickBot="1">
      <c r="E407" s="9">
        <v>6</v>
      </c>
      <c r="F407" s="137">
        <f t="shared" si="44"/>
        <v>4.285714285714286</v>
      </c>
    </row>
    <row r="408" spans="5:6" ht="19.5" thickBot="1">
      <c r="E408" s="9">
        <v>15</v>
      </c>
      <c r="F408" s="137">
        <f t="shared" si="44"/>
        <v>10.714285714285714</v>
      </c>
    </row>
    <row r="409" spans="5:6" ht="19.5" thickBot="1">
      <c r="E409" s="9">
        <v>2.6</v>
      </c>
      <c r="F409" s="137">
        <f t="shared" si="44"/>
        <v>1.8571428571428572</v>
      </c>
    </row>
    <row r="410" spans="5:6" ht="19.5" thickBot="1">
      <c r="E410" s="9">
        <v>88</v>
      </c>
      <c r="F410" s="137">
        <f t="shared" si="44"/>
        <v>62.857142857142854</v>
      </c>
    </row>
    <row r="411" spans="5:6" ht="19.5" thickBot="1">
      <c r="E411" s="9">
        <v>70</v>
      </c>
      <c r="F411" s="137">
        <f t="shared" si="44"/>
        <v>50</v>
      </c>
    </row>
    <row r="412" spans="5:6" ht="19.5" thickBot="1">
      <c r="E412" s="9">
        <v>70</v>
      </c>
      <c r="F412" s="137">
        <f t="shared" si="44"/>
        <v>50</v>
      </c>
    </row>
    <row r="424" ht="19.5" thickBot="1"/>
    <row r="425" spans="5:6" ht="19.5" thickBot="1">
      <c r="E425" s="8">
        <v>183</v>
      </c>
      <c r="F425" s="137">
        <f>E425*50/70</f>
        <v>130.71428571428572</v>
      </c>
    </row>
    <row r="426" spans="5:6" ht="19.5" thickBot="1">
      <c r="E426" s="9">
        <v>154</v>
      </c>
      <c r="F426" s="137">
        <f aca="true" t="shared" si="47" ref="F426:F450">E426*50/70</f>
        <v>110</v>
      </c>
    </row>
    <row r="427" spans="5:11" ht="19.5" thickBot="1">
      <c r="E427" s="9">
        <v>176</v>
      </c>
      <c r="F427" s="137">
        <f t="shared" si="47"/>
        <v>125.71428571428571</v>
      </c>
      <c r="J427" s="8">
        <v>164</v>
      </c>
      <c r="K427" s="137">
        <f>J427*120/150</f>
        <v>131.2</v>
      </c>
    </row>
    <row r="428" spans="5:14" ht="19.5" thickBot="1">
      <c r="E428" s="9">
        <v>154</v>
      </c>
      <c r="F428" s="137">
        <f t="shared" si="47"/>
        <v>110</v>
      </c>
      <c r="J428" s="9">
        <v>164</v>
      </c>
      <c r="K428" s="137">
        <f>J428*120/150</f>
        <v>131.2</v>
      </c>
      <c r="M428" s="8">
        <v>98</v>
      </c>
      <c r="N428" s="137">
        <f>M428*50/70</f>
        <v>70</v>
      </c>
    </row>
    <row r="429" spans="5:14" ht="19.5" thickBot="1">
      <c r="E429" s="9">
        <v>203</v>
      </c>
      <c r="F429" s="137">
        <f t="shared" si="47"/>
        <v>145</v>
      </c>
      <c r="J429" s="9">
        <v>4</v>
      </c>
      <c r="K429" s="137">
        <f>J429*120/150</f>
        <v>3.2</v>
      </c>
      <c r="M429" s="9">
        <v>82</v>
      </c>
      <c r="N429" s="137">
        <f aca="true" t="shared" si="48" ref="N429:N449">M429*50/70</f>
        <v>58.57142857142857</v>
      </c>
    </row>
    <row r="430" spans="5:14" ht="19.5" thickBot="1">
      <c r="E430" s="9">
        <v>151</v>
      </c>
      <c r="F430" s="137">
        <f t="shared" si="47"/>
        <v>107.85714285714286</v>
      </c>
      <c r="J430" s="9">
        <v>150</v>
      </c>
      <c r="K430" s="137">
        <f>J430*120/150</f>
        <v>120</v>
      </c>
      <c r="M430" s="9">
        <v>94</v>
      </c>
      <c r="N430" s="137">
        <f t="shared" si="48"/>
        <v>67.14285714285714</v>
      </c>
    </row>
    <row r="431" spans="5:14" ht="19.5" thickBot="1">
      <c r="E431" s="9">
        <v>190</v>
      </c>
      <c r="F431" s="137">
        <f t="shared" si="47"/>
        <v>135.71428571428572</v>
      </c>
      <c r="J431" s="9">
        <v>5</v>
      </c>
      <c r="K431" s="137">
        <f>J431*120/150</f>
        <v>4</v>
      </c>
      <c r="M431" s="9">
        <v>82</v>
      </c>
      <c r="N431" s="137">
        <f t="shared" si="48"/>
        <v>58.57142857142857</v>
      </c>
    </row>
    <row r="432" spans="5:14" ht="19.5" thickBot="1">
      <c r="E432" s="9">
        <v>98</v>
      </c>
      <c r="F432" s="137">
        <f t="shared" si="47"/>
        <v>70</v>
      </c>
      <c r="M432" s="9">
        <v>109</v>
      </c>
      <c r="N432" s="137">
        <f t="shared" si="48"/>
        <v>77.85714285714286</v>
      </c>
    </row>
    <row r="433" spans="5:14" ht="19.5" thickBot="1">
      <c r="E433" s="9">
        <v>127</v>
      </c>
      <c r="F433" s="137">
        <f t="shared" si="47"/>
        <v>90.71428571428571</v>
      </c>
      <c r="J433" s="3">
        <v>131</v>
      </c>
      <c r="K433" s="137">
        <f>J433*100/120</f>
        <v>109.16666666666667</v>
      </c>
      <c r="M433" s="9">
        <v>81</v>
      </c>
      <c r="N433" s="137">
        <f t="shared" si="48"/>
        <v>57.857142857142854</v>
      </c>
    </row>
    <row r="434" spans="5:14" ht="19.5" thickBot="1">
      <c r="E434" s="9">
        <v>109</v>
      </c>
      <c r="F434" s="137">
        <f t="shared" si="47"/>
        <v>77.85714285714286</v>
      </c>
      <c r="J434" s="4">
        <v>131</v>
      </c>
      <c r="K434" s="137">
        <f>J434*100/120</f>
        <v>109.16666666666667</v>
      </c>
      <c r="M434" s="9">
        <v>100</v>
      </c>
      <c r="N434" s="137">
        <f t="shared" si="48"/>
        <v>71.42857142857143</v>
      </c>
    </row>
    <row r="435" spans="5:14" ht="19.5" thickBot="1">
      <c r="E435" s="9">
        <v>118</v>
      </c>
      <c r="F435" s="137">
        <f t="shared" si="47"/>
        <v>84.28571428571429</v>
      </c>
      <c r="J435" s="4">
        <v>3</v>
      </c>
      <c r="K435" s="137">
        <f>J435*100/120</f>
        <v>2.5</v>
      </c>
      <c r="M435" s="9">
        <v>52</v>
      </c>
      <c r="N435" s="137">
        <f t="shared" si="48"/>
        <v>37.142857142857146</v>
      </c>
    </row>
    <row r="436" spans="5:14" ht="19.5" thickBot="1">
      <c r="E436" s="9">
        <v>104</v>
      </c>
      <c r="F436" s="137">
        <f t="shared" si="47"/>
        <v>74.28571428571429</v>
      </c>
      <c r="J436" s="4">
        <v>120</v>
      </c>
      <c r="K436" s="137">
        <f>J436*100/120</f>
        <v>100</v>
      </c>
      <c r="M436" s="9">
        <v>67</v>
      </c>
      <c r="N436" s="137">
        <f t="shared" si="48"/>
        <v>47.857142857142854</v>
      </c>
    </row>
    <row r="437" spans="5:14" ht="19.5" thickBot="1">
      <c r="E437" s="9">
        <v>14</v>
      </c>
      <c r="F437" s="137">
        <f t="shared" si="47"/>
        <v>10</v>
      </c>
      <c r="J437" s="4">
        <v>3</v>
      </c>
      <c r="K437" s="137">
        <f>J437*100/120</f>
        <v>2.5</v>
      </c>
      <c r="M437" s="9">
        <v>58</v>
      </c>
      <c r="N437" s="137">
        <f t="shared" si="48"/>
        <v>41.42857142857143</v>
      </c>
    </row>
    <row r="438" spans="5:14" ht="19.5" thickBot="1">
      <c r="E438" s="9"/>
      <c r="F438" s="137">
        <f t="shared" si="47"/>
        <v>0</v>
      </c>
      <c r="M438" s="9">
        <v>62</v>
      </c>
      <c r="N438" s="137">
        <f t="shared" si="48"/>
        <v>44.285714285714285</v>
      </c>
    </row>
    <row r="439" spans="5:14" ht="19.5" thickBot="1">
      <c r="E439" s="9">
        <v>24</v>
      </c>
      <c r="F439" s="137">
        <f t="shared" si="47"/>
        <v>17.142857142857142</v>
      </c>
      <c r="M439" s="9">
        <v>55</v>
      </c>
      <c r="N439" s="137">
        <f t="shared" si="48"/>
        <v>39.285714285714285</v>
      </c>
    </row>
    <row r="440" spans="5:14" ht="19.5" thickBot="1">
      <c r="E440" s="9">
        <v>24</v>
      </c>
      <c r="F440" s="137">
        <f t="shared" si="47"/>
        <v>17.142857142857142</v>
      </c>
      <c r="M440" s="9">
        <v>14</v>
      </c>
      <c r="N440" s="137">
        <f t="shared" si="48"/>
        <v>10</v>
      </c>
    </row>
    <row r="441" spans="5:14" ht="19.5" thickBot="1">
      <c r="E441" s="9">
        <v>6</v>
      </c>
      <c r="F441" s="137">
        <f t="shared" si="47"/>
        <v>4.285714285714286</v>
      </c>
      <c r="M441" s="9">
        <v>3.5</v>
      </c>
      <c r="N441" s="137">
        <f t="shared" si="48"/>
        <v>2.5</v>
      </c>
    </row>
    <row r="442" spans="5:14" ht="19.5" thickBot="1">
      <c r="E442" s="9"/>
      <c r="F442" s="137">
        <f t="shared" si="47"/>
        <v>0</v>
      </c>
      <c r="M442" s="9">
        <v>14</v>
      </c>
      <c r="N442" s="137">
        <f t="shared" si="48"/>
        <v>10</v>
      </c>
    </row>
    <row r="443" spans="5:14" ht="19.5" thickBot="1">
      <c r="E443" s="9">
        <v>0.6</v>
      </c>
      <c r="F443" s="137">
        <f t="shared" si="47"/>
        <v>0.42857142857142855</v>
      </c>
      <c r="M443" s="9">
        <v>9</v>
      </c>
      <c r="N443" s="137">
        <f t="shared" si="48"/>
        <v>6.428571428571429</v>
      </c>
    </row>
    <row r="444" spans="5:14" ht="19.5" thickBot="1">
      <c r="E444" s="9">
        <v>0.6</v>
      </c>
      <c r="F444" s="137">
        <f t="shared" si="47"/>
        <v>0.42857142857142855</v>
      </c>
      <c r="M444" s="9">
        <v>4</v>
      </c>
      <c r="N444" s="137">
        <f t="shared" si="48"/>
        <v>2.857142857142857</v>
      </c>
    </row>
    <row r="445" spans="5:14" ht="19.5" thickBot="1">
      <c r="E445" s="9">
        <v>11</v>
      </c>
      <c r="F445" s="137">
        <f t="shared" si="47"/>
        <v>7.857142857142857</v>
      </c>
      <c r="M445" s="9">
        <v>6</v>
      </c>
      <c r="N445" s="137">
        <f t="shared" si="48"/>
        <v>4.285714285714286</v>
      </c>
    </row>
    <row r="446" spans="5:14" ht="19.5" thickBot="1">
      <c r="E446" s="9">
        <v>10</v>
      </c>
      <c r="F446" s="137">
        <f t="shared" si="47"/>
        <v>7.142857142857143</v>
      </c>
      <c r="M446" s="9">
        <v>83</v>
      </c>
      <c r="N446" s="137">
        <f t="shared" si="48"/>
        <v>59.285714285714285</v>
      </c>
    </row>
    <row r="447" spans="5:14" ht="19.5" thickBot="1">
      <c r="E447" s="9">
        <v>10</v>
      </c>
      <c r="F447" s="137">
        <f t="shared" si="47"/>
        <v>7.142857142857143</v>
      </c>
      <c r="M447" s="9">
        <v>5</v>
      </c>
      <c r="N447" s="137">
        <f t="shared" si="48"/>
        <v>3.5714285714285716</v>
      </c>
    </row>
    <row r="448" spans="5:14" ht="19.5" thickBot="1">
      <c r="E448" s="9">
        <v>20</v>
      </c>
      <c r="F448" s="137">
        <f t="shared" si="47"/>
        <v>14.285714285714286</v>
      </c>
      <c r="M448" s="9">
        <v>70</v>
      </c>
      <c r="N448" s="137">
        <f t="shared" si="48"/>
        <v>50</v>
      </c>
    </row>
    <row r="449" spans="5:14" ht="19.5" thickBot="1">
      <c r="E449" s="9">
        <v>70</v>
      </c>
      <c r="F449" s="137">
        <f t="shared" si="47"/>
        <v>50</v>
      </c>
      <c r="M449" s="9">
        <v>70</v>
      </c>
      <c r="N449" s="137">
        <f t="shared" si="48"/>
        <v>50</v>
      </c>
    </row>
    <row r="450" spans="5:6" ht="19.5" thickBot="1">
      <c r="E450" s="9">
        <v>90</v>
      </c>
      <c r="F450" s="137">
        <f t="shared" si="47"/>
        <v>64.28571428571429</v>
      </c>
    </row>
    <row r="465" ht="19.5" thickBot="1"/>
    <row r="466" spans="12:13" ht="19.5" thickBot="1">
      <c r="L466" s="3">
        <v>31</v>
      </c>
      <c r="M466" s="137">
        <f>L466*50/40</f>
        <v>38.75</v>
      </c>
    </row>
    <row r="467" spans="12:13" ht="19.5" thickBot="1">
      <c r="L467" s="4">
        <v>7</v>
      </c>
      <c r="M467" s="137">
        <f>L467*50/40</f>
        <v>8.75</v>
      </c>
    </row>
    <row r="468" spans="12:13" ht="19.5" thickBot="1">
      <c r="L468" s="4">
        <v>4</v>
      </c>
      <c r="M468" s="137">
        <f>L468*50/40</f>
        <v>5</v>
      </c>
    </row>
    <row r="469" spans="3:13" ht="19.5" thickBot="1">
      <c r="C469" s="28">
        <v>128</v>
      </c>
      <c r="D469" s="137">
        <f>C469*50/70</f>
        <v>91.42857142857143</v>
      </c>
      <c r="H469" s="8">
        <v>55</v>
      </c>
      <c r="I469" s="137">
        <f>H469*40/45</f>
        <v>48.888888888888886</v>
      </c>
      <c r="L469" s="4">
        <v>40</v>
      </c>
      <c r="M469" s="137">
        <f>L469*50/40</f>
        <v>50</v>
      </c>
    </row>
    <row r="470" spans="3:9" ht="19.5" thickBot="1">
      <c r="C470" s="29">
        <v>107</v>
      </c>
      <c r="D470" s="137">
        <f aca="true" t="shared" si="49" ref="D470:D487">C470*50/70</f>
        <v>76.42857142857143</v>
      </c>
      <c r="H470" s="9">
        <v>8</v>
      </c>
      <c r="I470" s="137">
        <f>H470*40/45</f>
        <v>7.111111111111111</v>
      </c>
    </row>
    <row r="471" spans="3:9" ht="19.5" thickBot="1">
      <c r="C471" s="29">
        <v>123</v>
      </c>
      <c r="D471" s="137">
        <f t="shared" si="49"/>
        <v>87.85714285714286</v>
      </c>
      <c r="H471" s="9">
        <v>4</v>
      </c>
      <c r="I471" s="137">
        <f>H471*40/45</f>
        <v>3.5555555555555554</v>
      </c>
    </row>
    <row r="472" spans="3:9" ht="19.5" thickBot="1">
      <c r="C472" s="29">
        <v>106</v>
      </c>
      <c r="D472" s="137">
        <f t="shared" si="49"/>
        <v>75.71428571428571</v>
      </c>
      <c r="H472" s="9">
        <v>45</v>
      </c>
      <c r="I472" s="137">
        <f>H472*40/45</f>
        <v>40</v>
      </c>
    </row>
    <row r="473" spans="3:4" ht="19.5" thickBot="1">
      <c r="C473" s="29">
        <v>140</v>
      </c>
      <c r="D473" s="137">
        <f t="shared" si="49"/>
        <v>100</v>
      </c>
    </row>
    <row r="474" spans="3:4" ht="19.5" thickBot="1">
      <c r="C474" s="29">
        <v>103</v>
      </c>
      <c r="D474" s="137">
        <f t="shared" si="49"/>
        <v>73.57142857142857</v>
      </c>
    </row>
    <row r="475" spans="3:4" ht="19.5" thickBot="1">
      <c r="C475" s="29">
        <v>132</v>
      </c>
      <c r="D475" s="137">
        <f t="shared" si="49"/>
        <v>94.28571428571429</v>
      </c>
    </row>
    <row r="476" spans="3:4" ht="19.5" thickBot="1">
      <c r="C476" s="29">
        <v>68</v>
      </c>
      <c r="D476" s="137">
        <f t="shared" si="49"/>
        <v>48.57142857142857</v>
      </c>
    </row>
    <row r="477" spans="3:4" ht="19.5" thickBot="1">
      <c r="C477" s="29">
        <v>88</v>
      </c>
      <c r="D477" s="137">
        <f t="shared" si="49"/>
        <v>62.857142857142854</v>
      </c>
    </row>
    <row r="478" spans="3:4" ht="19.5" thickBot="1">
      <c r="C478" s="29">
        <v>75</v>
      </c>
      <c r="D478" s="137">
        <f t="shared" si="49"/>
        <v>53.57142857142857</v>
      </c>
    </row>
    <row r="479" spans="3:4" ht="19.5" thickBot="1">
      <c r="C479" s="29">
        <v>82</v>
      </c>
      <c r="D479" s="137">
        <f t="shared" si="49"/>
        <v>58.57142857142857</v>
      </c>
    </row>
    <row r="480" spans="3:4" ht="19.5" thickBot="1">
      <c r="C480" s="29">
        <v>72</v>
      </c>
      <c r="D480" s="137">
        <f t="shared" si="49"/>
        <v>51.42857142857143</v>
      </c>
    </row>
    <row r="481" spans="3:4" ht="19.5" thickBot="1">
      <c r="C481" s="29">
        <v>3.5</v>
      </c>
      <c r="D481" s="137">
        <f t="shared" si="49"/>
        <v>2.5</v>
      </c>
    </row>
    <row r="482" spans="3:4" ht="19.5" thickBot="1">
      <c r="C482" s="29">
        <v>18</v>
      </c>
      <c r="D482" s="137">
        <f t="shared" si="49"/>
        <v>12.857142857142858</v>
      </c>
    </row>
    <row r="483" spans="3:4" ht="19.5" thickBot="1">
      <c r="C483" s="29">
        <v>6</v>
      </c>
      <c r="D483" s="137">
        <f t="shared" si="49"/>
        <v>4.285714285714286</v>
      </c>
    </row>
    <row r="484" spans="3:4" ht="19.5" thickBot="1">
      <c r="C484" s="29">
        <v>1.8</v>
      </c>
      <c r="D484" s="137">
        <f t="shared" si="49"/>
        <v>1.2857142857142858</v>
      </c>
    </row>
    <row r="485" spans="3:4" ht="19.5" thickBot="1">
      <c r="C485" s="29">
        <v>23</v>
      </c>
      <c r="D485" s="137">
        <f t="shared" si="49"/>
        <v>16.428571428571427</v>
      </c>
    </row>
    <row r="486" spans="3:4" ht="19.5" thickBot="1">
      <c r="C486" s="29">
        <v>75</v>
      </c>
      <c r="D486" s="137">
        <f t="shared" si="49"/>
        <v>53.57142857142857</v>
      </c>
    </row>
    <row r="487" spans="3:4" ht="19.5" thickBot="1">
      <c r="C487" s="29">
        <v>70</v>
      </c>
      <c r="D487" s="137">
        <f t="shared" si="49"/>
        <v>50</v>
      </c>
    </row>
    <row r="497" ht="19.5" thickBot="1"/>
    <row r="498" spans="13:14" ht="19.5" thickBot="1">
      <c r="M498" s="8">
        <v>4</v>
      </c>
      <c r="N498" s="137">
        <f>M498*150/200</f>
        <v>3</v>
      </c>
    </row>
    <row r="499" spans="4:14" ht="19.5" thickBot="1">
      <c r="D499" s="8">
        <v>180</v>
      </c>
      <c r="E499" s="137">
        <f>D499*150/200</f>
        <v>135</v>
      </c>
      <c r="M499" s="9">
        <v>108</v>
      </c>
      <c r="N499" s="137">
        <f aca="true" t="shared" si="50" ref="N499:N517">M499*150/200</f>
        <v>81</v>
      </c>
    </row>
    <row r="500" spans="4:14" ht="19.5" thickBot="1">
      <c r="D500" s="9">
        <v>180</v>
      </c>
      <c r="E500" s="137">
        <f aca="true" t="shared" si="51" ref="E500:E513">D500*150/200</f>
        <v>135</v>
      </c>
      <c r="M500" s="9">
        <v>108</v>
      </c>
      <c r="N500" s="137">
        <f t="shared" si="50"/>
        <v>81</v>
      </c>
    </row>
    <row r="501" spans="4:14" ht="19.5" thickBot="1">
      <c r="D501" s="9">
        <v>180</v>
      </c>
      <c r="E501" s="137">
        <f t="shared" si="51"/>
        <v>135</v>
      </c>
      <c r="J501" s="8">
        <v>137</v>
      </c>
      <c r="K501" s="137">
        <f>J501*50/70</f>
        <v>97.85714285714286</v>
      </c>
      <c r="M501" s="9">
        <v>108</v>
      </c>
      <c r="N501" s="137">
        <f t="shared" si="50"/>
        <v>81</v>
      </c>
    </row>
    <row r="502" spans="4:14" ht="19.5" thickBot="1">
      <c r="D502" s="9">
        <v>180</v>
      </c>
      <c r="E502" s="137">
        <f t="shared" si="51"/>
        <v>135</v>
      </c>
      <c r="J502" s="9">
        <v>114</v>
      </c>
      <c r="K502" s="137">
        <f aca="true" t="shared" si="52" ref="K502:K525">J502*50/70</f>
        <v>81.42857142857143</v>
      </c>
      <c r="M502" s="9">
        <v>105</v>
      </c>
      <c r="N502" s="137">
        <f t="shared" si="50"/>
        <v>78.75</v>
      </c>
    </row>
    <row r="503" spans="4:14" ht="19.5" thickBot="1">
      <c r="D503" s="9">
        <v>175</v>
      </c>
      <c r="E503" s="137">
        <f t="shared" si="51"/>
        <v>131.25</v>
      </c>
      <c r="J503" s="9">
        <v>132</v>
      </c>
      <c r="K503" s="137">
        <f t="shared" si="52"/>
        <v>94.28571428571429</v>
      </c>
      <c r="M503" s="9">
        <v>75</v>
      </c>
      <c r="N503" s="137">
        <f t="shared" si="50"/>
        <v>56.25</v>
      </c>
    </row>
    <row r="504" spans="4:14" ht="19.5" thickBot="1">
      <c r="D504" s="9"/>
      <c r="E504" s="137">
        <f t="shared" si="51"/>
        <v>0</v>
      </c>
      <c r="J504" s="9">
        <v>114</v>
      </c>
      <c r="K504" s="137">
        <f t="shared" si="52"/>
        <v>81.42857142857143</v>
      </c>
      <c r="M504" s="9">
        <v>40</v>
      </c>
      <c r="N504" s="137">
        <f t="shared" si="50"/>
        <v>30</v>
      </c>
    </row>
    <row r="505" spans="4:14" ht="19.5" thickBot="1">
      <c r="D505" s="9">
        <v>31</v>
      </c>
      <c r="E505" s="137">
        <f t="shared" si="51"/>
        <v>23.25</v>
      </c>
      <c r="J505" s="9">
        <v>150</v>
      </c>
      <c r="K505" s="137">
        <f t="shared" si="52"/>
        <v>107.14285714285714</v>
      </c>
      <c r="M505" s="9"/>
      <c r="N505" s="137">
        <f t="shared" si="50"/>
        <v>0</v>
      </c>
    </row>
    <row r="506" spans="4:14" ht="19.5" thickBot="1">
      <c r="D506" s="9">
        <v>11</v>
      </c>
      <c r="E506" s="137">
        <f t="shared" si="51"/>
        <v>8.25</v>
      </c>
      <c r="J506" s="9">
        <v>111</v>
      </c>
      <c r="K506" s="137">
        <f t="shared" si="52"/>
        <v>79.28571428571429</v>
      </c>
      <c r="M506" s="9">
        <v>42</v>
      </c>
      <c r="N506" s="137">
        <f t="shared" si="50"/>
        <v>31.5</v>
      </c>
    </row>
    <row r="507" spans="4:14" ht="19.5" thickBot="1">
      <c r="D507" s="9">
        <v>11</v>
      </c>
      <c r="E507" s="137">
        <f t="shared" si="51"/>
        <v>8.25</v>
      </c>
      <c r="J507" s="9">
        <v>141</v>
      </c>
      <c r="K507" s="137">
        <f t="shared" si="52"/>
        <v>100.71428571428571</v>
      </c>
      <c r="M507" s="9">
        <v>42</v>
      </c>
      <c r="N507" s="137">
        <f t="shared" si="50"/>
        <v>31.5</v>
      </c>
    </row>
    <row r="508" spans="4:14" ht="19.5" thickBot="1">
      <c r="D508" s="9">
        <v>40</v>
      </c>
      <c r="E508" s="137">
        <f t="shared" si="51"/>
        <v>30</v>
      </c>
      <c r="J508" s="9">
        <v>73</v>
      </c>
      <c r="K508" s="137">
        <f t="shared" si="52"/>
        <v>52.142857142857146</v>
      </c>
      <c r="M508" s="9">
        <v>40</v>
      </c>
      <c r="N508" s="137">
        <f t="shared" si="50"/>
        <v>30</v>
      </c>
    </row>
    <row r="509" spans="4:14" ht="19.5" thickBot="1">
      <c r="D509" s="9">
        <v>5</v>
      </c>
      <c r="E509" s="137">
        <f t="shared" si="51"/>
        <v>3.75</v>
      </c>
      <c r="J509" s="9">
        <v>94</v>
      </c>
      <c r="K509" s="137">
        <f t="shared" si="52"/>
        <v>67.14285714285714</v>
      </c>
      <c r="M509" s="9">
        <v>20</v>
      </c>
      <c r="N509" s="137">
        <f t="shared" si="50"/>
        <v>15</v>
      </c>
    </row>
    <row r="510" spans="4:14" ht="19.5" thickBot="1">
      <c r="D510" s="9">
        <v>5</v>
      </c>
      <c r="E510" s="137">
        <f t="shared" si="51"/>
        <v>3.75</v>
      </c>
      <c r="J510" s="9">
        <v>81</v>
      </c>
      <c r="K510" s="137">
        <f t="shared" si="52"/>
        <v>57.857142857142854</v>
      </c>
      <c r="M510" s="9">
        <v>10</v>
      </c>
      <c r="N510" s="137">
        <f t="shared" si="50"/>
        <v>7.5</v>
      </c>
    </row>
    <row r="511" spans="4:14" ht="19.5" thickBot="1">
      <c r="D511" s="9">
        <v>227</v>
      </c>
      <c r="E511" s="137">
        <f t="shared" si="51"/>
        <v>170.25</v>
      </c>
      <c r="J511" s="9">
        <v>87</v>
      </c>
      <c r="K511" s="137">
        <f t="shared" si="52"/>
        <v>62.142857142857146</v>
      </c>
      <c r="M511" s="9">
        <v>12</v>
      </c>
      <c r="N511" s="137">
        <f t="shared" si="50"/>
        <v>9</v>
      </c>
    </row>
    <row r="512" spans="4:14" ht="19.5" thickBot="1">
      <c r="D512" s="9">
        <v>200</v>
      </c>
      <c r="E512" s="137">
        <f t="shared" si="51"/>
        <v>150</v>
      </c>
      <c r="J512" s="9">
        <v>77</v>
      </c>
      <c r="K512" s="137">
        <f t="shared" si="52"/>
        <v>55</v>
      </c>
      <c r="M512" s="9">
        <v>10</v>
      </c>
      <c r="N512" s="137">
        <f t="shared" si="50"/>
        <v>7.5</v>
      </c>
    </row>
    <row r="513" spans="4:14" ht="19.5" thickBot="1">
      <c r="D513" s="9">
        <v>200</v>
      </c>
      <c r="E513" s="137">
        <f t="shared" si="51"/>
        <v>150</v>
      </c>
      <c r="J513" s="9">
        <v>10</v>
      </c>
      <c r="K513" s="137">
        <f t="shared" si="52"/>
        <v>7.142857142857143</v>
      </c>
      <c r="M513" s="9">
        <v>8</v>
      </c>
      <c r="N513" s="137">
        <f t="shared" si="50"/>
        <v>6</v>
      </c>
    </row>
    <row r="514" spans="10:14" ht="19.5" thickBot="1">
      <c r="J514" s="9"/>
      <c r="K514" s="137">
        <f t="shared" si="52"/>
        <v>0</v>
      </c>
      <c r="M514" s="9">
        <v>6</v>
      </c>
      <c r="N514" s="137">
        <f t="shared" si="50"/>
        <v>4.5</v>
      </c>
    </row>
    <row r="515" spans="10:14" ht="19.5" thickBot="1">
      <c r="J515" s="9">
        <v>12</v>
      </c>
      <c r="K515" s="137">
        <f t="shared" si="52"/>
        <v>8.571428571428571</v>
      </c>
      <c r="M515" s="9">
        <v>10</v>
      </c>
      <c r="N515" s="137">
        <f t="shared" si="50"/>
        <v>7.5</v>
      </c>
    </row>
    <row r="516" spans="10:14" ht="19.5" thickBot="1">
      <c r="J516" s="9">
        <v>12</v>
      </c>
      <c r="K516" s="137">
        <f t="shared" si="52"/>
        <v>8.571428571428571</v>
      </c>
      <c r="M516" s="9">
        <v>234</v>
      </c>
      <c r="N516" s="137">
        <f t="shared" si="50"/>
        <v>175.5</v>
      </c>
    </row>
    <row r="517" spans="10:14" ht="19.5" thickBot="1">
      <c r="J517" s="9">
        <v>12</v>
      </c>
      <c r="K517" s="137">
        <f t="shared" si="52"/>
        <v>8.571428571428571</v>
      </c>
      <c r="M517" s="9">
        <v>200</v>
      </c>
      <c r="N517" s="137">
        <f t="shared" si="50"/>
        <v>150</v>
      </c>
    </row>
    <row r="518" spans="10:11" ht="19.5" thickBot="1">
      <c r="J518" s="9">
        <v>5</v>
      </c>
      <c r="K518" s="137">
        <f t="shared" si="52"/>
        <v>3.5714285714285716</v>
      </c>
    </row>
    <row r="519" spans="10:11" ht="19.5" thickBot="1">
      <c r="J519" s="9">
        <v>52</v>
      </c>
      <c r="K519" s="137">
        <f t="shared" si="52"/>
        <v>37.142857142857146</v>
      </c>
    </row>
    <row r="520" spans="10:11" ht="19.5" thickBot="1">
      <c r="J520" s="9">
        <v>70</v>
      </c>
      <c r="K520" s="137">
        <f t="shared" si="52"/>
        <v>50</v>
      </c>
    </row>
    <row r="521" spans="10:11" ht="19.5" thickBot="1">
      <c r="J521" s="9">
        <v>70</v>
      </c>
      <c r="K521" s="137">
        <f t="shared" si="52"/>
        <v>50</v>
      </c>
    </row>
    <row r="522" spans="10:11" ht="19.5" thickBot="1">
      <c r="J522" s="9">
        <v>4</v>
      </c>
      <c r="K522" s="137">
        <f t="shared" si="52"/>
        <v>2.857142857142857</v>
      </c>
    </row>
    <row r="523" spans="10:11" ht="19.5" thickBot="1">
      <c r="J523" s="9">
        <v>29</v>
      </c>
      <c r="K523" s="137">
        <f t="shared" si="52"/>
        <v>20.714285714285715</v>
      </c>
    </row>
    <row r="524" spans="10:11" ht="19.5" thickBot="1">
      <c r="J524" s="9">
        <v>88</v>
      </c>
      <c r="K524" s="137">
        <f t="shared" si="52"/>
        <v>62.857142857142854</v>
      </c>
    </row>
    <row r="525" spans="10:11" ht="19.5" thickBot="1">
      <c r="J525" s="9">
        <v>70</v>
      </c>
      <c r="K525" s="137">
        <f t="shared" si="52"/>
        <v>50</v>
      </c>
    </row>
    <row r="540" ht="19.5" thickBot="1"/>
    <row r="541" spans="4:14" ht="19.5" thickBot="1">
      <c r="D541" s="3">
        <v>26</v>
      </c>
      <c r="E541" s="137">
        <f>D541*70/80</f>
        <v>22.75</v>
      </c>
      <c r="M541" s="8">
        <v>0.7</v>
      </c>
      <c r="N541" s="137">
        <f aca="true" t="shared" si="53" ref="N541:N546">M541*25/20</f>
        <v>0.875</v>
      </c>
    </row>
    <row r="542" spans="4:14" ht="19.5" thickBot="1">
      <c r="D542" s="4">
        <v>62</v>
      </c>
      <c r="E542" s="137">
        <f aca="true" t="shared" si="54" ref="E542:E552">D542*70/80</f>
        <v>54.25</v>
      </c>
      <c r="J542" s="3">
        <v>280</v>
      </c>
      <c r="K542" s="137">
        <f>J542*75/100</f>
        <v>210</v>
      </c>
      <c r="M542" s="9">
        <v>0.7</v>
      </c>
      <c r="N542" s="137">
        <f t="shared" si="53"/>
        <v>0.875</v>
      </c>
    </row>
    <row r="543" spans="4:14" ht="19.5" thickBot="1">
      <c r="D543" s="4">
        <v>78</v>
      </c>
      <c r="E543" s="137">
        <f t="shared" si="54"/>
        <v>68.25</v>
      </c>
      <c r="J543" s="4">
        <v>185</v>
      </c>
      <c r="K543" s="137">
        <f aca="true" t="shared" si="55" ref="K543:K574">J543*75/100</f>
        <v>138.75</v>
      </c>
      <c r="M543" s="9">
        <v>11</v>
      </c>
      <c r="N543" s="137">
        <f t="shared" si="53"/>
        <v>13.75</v>
      </c>
    </row>
    <row r="544" spans="4:14" ht="19.5" thickBot="1">
      <c r="D544" s="4">
        <v>2</v>
      </c>
      <c r="E544" s="137">
        <f t="shared" si="54"/>
        <v>1.75</v>
      </c>
      <c r="J544" s="4"/>
      <c r="K544" s="137">
        <f t="shared" si="55"/>
        <v>0</v>
      </c>
      <c r="M544" s="9">
        <v>10</v>
      </c>
      <c r="N544" s="137">
        <f t="shared" si="53"/>
        <v>12.5</v>
      </c>
    </row>
    <row r="545" spans="4:14" ht="19.5" thickBot="1">
      <c r="D545" s="4">
        <v>80</v>
      </c>
      <c r="E545" s="137">
        <f t="shared" si="54"/>
        <v>70</v>
      </c>
      <c r="J545" s="4">
        <v>20</v>
      </c>
      <c r="K545" s="137">
        <f t="shared" si="55"/>
        <v>15</v>
      </c>
      <c r="M545" s="9">
        <v>10</v>
      </c>
      <c r="N545" s="137">
        <f t="shared" si="53"/>
        <v>12.5</v>
      </c>
    </row>
    <row r="546" spans="4:14" ht="19.5" thickBot="1">
      <c r="D546" s="4">
        <v>13</v>
      </c>
      <c r="E546" s="137">
        <f t="shared" si="54"/>
        <v>11.375</v>
      </c>
      <c r="J546" s="4">
        <v>50</v>
      </c>
      <c r="K546" s="137">
        <f t="shared" si="55"/>
        <v>37.5</v>
      </c>
      <c r="M546" s="9">
        <v>20</v>
      </c>
      <c r="N546" s="137">
        <f t="shared" si="53"/>
        <v>25</v>
      </c>
    </row>
    <row r="547" spans="4:11" ht="19.5" thickBot="1">
      <c r="D547" s="4">
        <v>13</v>
      </c>
      <c r="E547" s="137">
        <f t="shared" si="54"/>
        <v>11.375</v>
      </c>
      <c r="J547" s="4">
        <v>20</v>
      </c>
      <c r="K547" s="137">
        <f t="shared" si="55"/>
        <v>15</v>
      </c>
    </row>
    <row r="548" spans="4:11" ht="19.5" thickBot="1">
      <c r="D548" s="4">
        <v>6</v>
      </c>
      <c r="E548" s="137">
        <f t="shared" si="54"/>
        <v>5.25</v>
      </c>
      <c r="J548" s="4">
        <v>188</v>
      </c>
      <c r="K548" s="137">
        <f t="shared" si="55"/>
        <v>141</v>
      </c>
    </row>
    <row r="549" spans="4:11" ht="19.5" thickBot="1">
      <c r="D549" s="4">
        <v>2</v>
      </c>
      <c r="E549" s="137">
        <f t="shared" si="54"/>
        <v>1.75</v>
      </c>
      <c r="J549" s="4">
        <v>188</v>
      </c>
      <c r="K549" s="137">
        <f t="shared" si="55"/>
        <v>141</v>
      </c>
    </row>
    <row r="550" spans="4:11" ht="19.5" thickBot="1">
      <c r="D550" s="4">
        <v>2</v>
      </c>
      <c r="E550" s="137">
        <f t="shared" si="54"/>
        <v>1.75</v>
      </c>
      <c r="J550" s="4">
        <v>188</v>
      </c>
      <c r="K550" s="137">
        <f t="shared" si="55"/>
        <v>141</v>
      </c>
    </row>
    <row r="551" spans="4:11" ht="19.5" thickBot="1">
      <c r="D551" s="4">
        <v>16</v>
      </c>
      <c r="E551" s="137">
        <f t="shared" si="54"/>
        <v>14</v>
      </c>
      <c r="J551" s="4">
        <v>188</v>
      </c>
      <c r="K551" s="137">
        <f t="shared" si="55"/>
        <v>141</v>
      </c>
    </row>
    <row r="552" spans="4:11" ht="19.5" thickBot="1">
      <c r="D552" s="4">
        <v>80</v>
      </c>
      <c r="E552" s="137">
        <f t="shared" si="54"/>
        <v>70</v>
      </c>
      <c r="J552" s="4">
        <v>320</v>
      </c>
      <c r="K552" s="137">
        <f t="shared" si="55"/>
        <v>240</v>
      </c>
    </row>
    <row r="553" spans="10:11" ht="19.5" thickBot="1">
      <c r="J553" s="4">
        <v>185</v>
      </c>
      <c r="K553" s="137">
        <f t="shared" si="55"/>
        <v>138.75</v>
      </c>
    </row>
    <row r="554" spans="10:11" ht="19.5" thickBot="1">
      <c r="J554" s="4">
        <v>20</v>
      </c>
      <c r="K554" s="137">
        <f t="shared" si="55"/>
        <v>15</v>
      </c>
    </row>
    <row r="555" spans="10:11" ht="19.5" thickBot="1">
      <c r="J555" s="4">
        <v>200</v>
      </c>
      <c r="K555" s="137">
        <f t="shared" si="55"/>
        <v>150</v>
      </c>
    </row>
    <row r="556" spans="10:11" ht="19.5" thickBot="1">
      <c r="J556" s="4">
        <v>78</v>
      </c>
      <c r="K556" s="137">
        <f t="shared" si="55"/>
        <v>58.5</v>
      </c>
    </row>
    <row r="557" spans="10:11" ht="19.5" thickBot="1">
      <c r="J557" s="4">
        <v>53</v>
      </c>
      <c r="K557" s="137">
        <f t="shared" si="55"/>
        <v>39.75</v>
      </c>
    </row>
    <row r="558" spans="10:11" ht="19.5" thickBot="1">
      <c r="J558" s="4">
        <v>77</v>
      </c>
      <c r="K558" s="137">
        <f t="shared" si="55"/>
        <v>57.75</v>
      </c>
    </row>
    <row r="559" spans="10:11" ht="19.5" thickBot="1">
      <c r="J559" s="4">
        <v>19.6</v>
      </c>
      <c r="K559" s="137">
        <f t="shared" si="55"/>
        <v>14.7</v>
      </c>
    </row>
    <row r="560" spans="10:11" ht="19.5" thickBot="1">
      <c r="J560" s="4">
        <v>300</v>
      </c>
      <c r="K560" s="137">
        <f t="shared" si="55"/>
        <v>225</v>
      </c>
    </row>
    <row r="561" spans="10:11" ht="19.5" thickBot="1">
      <c r="J561" s="4">
        <v>180</v>
      </c>
      <c r="K561" s="137">
        <f t="shared" si="55"/>
        <v>135</v>
      </c>
    </row>
    <row r="562" spans="10:11" ht="19.5" thickBot="1">
      <c r="J562" s="4">
        <v>60</v>
      </c>
      <c r="K562" s="137">
        <f t="shared" si="55"/>
        <v>45</v>
      </c>
    </row>
    <row r="563" spans="10:11" ht="19.5" thickBot="1">
      <c r="J563" s="4">
        <v>11.8</v>
      </c>
      <c r="K563" s="137">
        <f t="shared" si="55"/>
        <v>8.85</v>
      </c>
    </row>
    <row r="564" spans="10:11" ht="19.5" thickBot="1">
      <c r="J564" s="4">
        <v>10</v>
      </c>
      <c r="K564" s="137">
        <f t="shared" si="55"/>
        <v>7.5</v>
      </c>
    </row>
    <row r="565" spans="3:11" ht="19.5" thickBot="1">
      <c r="C565" s="28">
        <v>40</v>
      </c>
      <c r="D565" s="137">
        <f>C565*95/120</f>
        <v>31.666666666666668</v>
      </c>
      <c r="J565" s="4">
        <v>35</v>
      </c>
      <c r="K565" s="137">
        <f t="shared" si="55"/>
        <v>26.25</v>
      </c>
    </row>
    <row r="566" spans="3:11" ht="19.5" thickBot="1">
      <c r="C566" s="29">
        <v>84</v>
      </c>
      <c r="D566" s="137">
        <f aca="true" t="shared" si="56" ref="D566:D573">C566*95/120</f>
        <v>66.5</v>
      </c>
      <c r="J566" s="4">
        <v>18</v>
      </c>
      <c r="K566" s="137">
        <f t="shared" si="55"/>
        <v>13.5</v>
      </c>
    </row>
    <row r="567" spans="3:11" ht="19.5" thickBot="1">
      <c r="C567" s="29">
        <v>10</v>
      </c>
      <c r="D567" s="137">
        <f t="shared" si="56"/>
        <v>7.916666666666667</v>
      </c>
      <c r="J567" s="4">
        <v>40</v>
      </c>
      <c r="K567" s="137">
        <f t="shared" si="55"/>
        <v>30</v>
      </c>
    </row>
    <row r="568" spans="3:11" ht="19.5" thickBot="1">
      <c r="C568" s="29">
        <v>16</v>
      </c>
      <c r="D568" s="137">
        <f t="shared" si="56"/>
        <v>12.666666666666666</v>
      </c>
      <c r="J568" s="4">
        <v>45</v>
      </c>
      <c r="K568" s="137">
        <f t="shared" si="55"/>
        <v>33.75</v>
      </c>
    </row>
    <row r="569" spans="3:11" ht="19.5" thickBot="1">
      <c r="C569" s="29">
        <v>10</v>
      </c>
      <c r="D569" s="137">
        <f t="shared" si="56"/>
        <v>7.916666666666667</v>
      </c>
      <c r="J569" s="4">
        <v>15</v>
      </c>
      <c r="K569" s="137">
        <f t="shared" si="55"/>
        <v>11.25</v>
      </c>
    </row>
    <row r="570" spans="3:11" ht="19.5" thickBot="1">
      <c r="C570" s="29">
        <v>17</v>
      </c>
      <c r="D570" s="137">
        <f t="shared" si="56"/>
        <v>13.458333333333334</v>
      </c>
      <c r="J570" s="4">
        <v>0.4</v>
      </c>
      <c r="K570" s="137">
        <f t="shared" si="55"/>
        <v>0.3</v>
      </c>
    </row>
    <row r="571" spans="3:11" ht="19.5" thickBot="1">
      <c r="C571" s="29">
        <v>4</v>
      </c>
      <c r="D571" s="137">
        <f t="shared" si="56"/>
        <v>3.1666666666666665</v>
      </c>
      <c r="J571" s="4">
        <v>1.2</v>
      </c>
      <c r="K571" s="137">
        <f t="shared" si="55"/>
        <v>0.9</v>
      </c>
    </row>
    <row r="572" spans="3:11" ht="19.5" thickBot="1">
      <c r="C572" s="29">
        <v>3</v>
      </c>
      <c r="D572" s="137">
        <f t="shared" si="56"/>
        <v>2.375</v>
      </c>
      <c r="J572" s="4"/>
      <c r="K572" s="137">
        <f t="shared" si="55"/>
        <v>0</v>
      </c>
    </row>
    <row r="573" spans="3:11" ht="19.5" thickBot="1">
      <c r="C573" s="29">
        <v>120</v>
      </c>
      <c r="D573" s="137">
        <f t="shared" si="56"/>
        <v>95</v>
      </c>
      <c r="J573" s="4">
        <v>2</v>
      </c>
      <c r="K573" s="137">
        <f t="shared" si="55"/>
        <v>1.5</v>
      </c>
    </row>
    <row r="574" spans="10:11" ht="19.5" thickBot="1">
      <c r="J574" s="4">
        <v>7</v>
      </c>
      <c r="K574" s="137">
        <f t="shared" si="55"/>
        <v>5.25</v>
      </c>
    </row>
    <row r="575" spans="14:15" ht="19.5" thickBot="1">
      <c r="N575" s="3">
        <v>23</v>
      </c>
      <c r="O575" s="137">
        <f>N575*70/80</f>
        <v>20.125</v>
      </c>
    </row>
    <row r="576" spans="14:15" ht="19.5" thickBot="1">
      <c r="N576" s="4">
        <v>138</v>
      </c>
      <c r="O576" s="137">
        <f aca="true" t="shared" si="57" ref="O576:O586">N576*70/80</f>
        <v>120.75</v>
      </c>
    </row>
    <row r="577" spans="14:15" ht="19.5" thickBot="1">
      <c r="N577" s="4">
        <v>66</v>
      </c>
      <c r="O577" s="137">
        <f t="shared" si="57"/>
        <v>57.75</v>
      </c>
    </row>
    <row r="578" spans="14:15" ht="19.5" thickBot="1">
      <c r="N578" s="4">
        <v>2</v>
      </c>
      <c r="O578" s="137">
        <f t="shared" si="57"/>
        <v>1.75</v>
      </c>
    </row>
    <row r="579" spans="14:15" ht="19.5" thickBot="1">
      <c r="N579" s="4"/>
      <c r="O579" s="137">
        <f t="shared" si="57"/>
        <v>0</v>
      </c>
    </row>
    <row r="580" spans="6:15" ht="19.5" thickBot="1">
      <c r="F580" s="3">
        <v>32</v>
      </c>
      <c r="G580" s="137">
        <f>F580*130/95</f>
        <v>43.78947368421053</v>
      </c>
      <c r="N580" s="4">
        <v>13</v>
      </c>
      <c r="O580" s="137">
        <f t="shared" si="57"/>
        <v>11.375</v>
      </c>
    </row>
    <row r="581" spans="6:15" ht="19.5" thickBot="1">
      <c r="F581" s="4">
        <v>67</v>
      </c>
      <c r="G581" s="137">
        <f aca="true" t="shared" si="58" ref="G581:G588">F581*130/95</f>
        <v>91.6842105263158</v>
      </c>
      <c r="N581" s="4">
        <v>13</v>
      </c>
      <c r="O581" s="137">
        <f t="shared" si="57"/>
        <v>11.375</v>
      </c>
    </row>
    <row r="582" spans="6:15" ht="19.5" thickBot="1">
      <c r="F582" s="4">
        <v>8</v>
      </c>
      <c r="G582" s="137">
        <f t="shared" si="58"/>
        <v>10.947368421052632</v>
      </c>
      <c r="N582" s="4">
        <v>6</v>
      </c>
      <c r="O582" s="137">
        <f t="shared" si="57"/>
        <v>5.25</v>
      </c>
    </row>
    <row r="583" spans="6:15" ht="19.5" thickBot="1">
      <c r="F583" s="4">
        <v>13</v>
      </c>
      <c r="G583" s="137">
        <f t="shared" si="58"/>
        <v>17.789473684210527</v>
      </c>
      <c r="N583" s="4">
        <v>2</v>
      </c>
      <c r="O583" s="137">
        <f t="shared" si="57"/>
        <v>1.75</v>
      </c>
    </row>
    <row r="584" spans="6:15" ht="19.5" thickBot="1">
      <c r="F584" s="4">
        <v>8</v>
      </c>
      <c r="G584" s="137">
        <f t="shared" si="58"/>
        <v>10.947368421052632</v>
      </c>
      <c r="N584" s="4">
        <v>2</v>
      </c>
      <c r="O584" s="137">
        <f t="shared" si="57"/>
        <v>1.75</v>
      </c>
    </row>
    <row r="585" spans="6:15" ht="19.5" thickBot="1">
      <c r="F585" s="4">
        <v>13</v>
      </c>
      <c r="G585" s="137">
        <f t="shared" si="58"/>
        <v>17.789473684210527</v>
      </c>
      <c r="N585" s="4">
        <v>16</v>
      </c>
      <c r="O585" s="137">
        <f t="shared" si="57"/>
        <v>14</v>
      </c>
    </row>
    <row r="586" spans="6:15" ht="19.5" thickBot="1">
      <c r="F586" s="4">
        <v>3</v>
      </c>
      <c r="G586" s="137">
        <f t="shared" si="58"/>
        <v>4.105263157894737</v>
      </c>
      <c r="N586" s="4">
        <v>80</v>
      </c>
      <c r="O586" s="137">
        <f t="shared" si="57"/>
        <v>70</v>
      </c>
    </row>
    <row r="587" spans="6:7" ht="19.5" thickBot="1">
      <c r="F587" s="4">
        <v>2</v>
      </c>
      <c r="G587" s="137">
        <f t="shared" si="58"/>
        <v>2.736842105263158</v>
      </c>
    </row>
    <row r="588" spans="6:7" ht="19.5" thickBot="1">
      <c r="F588" s="4">
        <v>95</v>
      </c>
      <c r="G588" s="137">
        <f t="shared" si="58"/>
        <v>130</v>
      </c>
    </row>
    <row r="605" ht="19.5" thickBot="1"/>
    <row r="606" spans="3:17" ht="19.5" thickBot="1">
      <c r="C606" s="28">
        <v>55</v>
      </c>
      <c r="D606" s="137">
        <f>C606*70/60</f>
        <v>64.16666666666667</v>
      </c>
      <c r="H606" s="3">
        <v>64</v>
      </c>
      <c r="I606" s="137">
        <f>H606*90/70</f>
        <v>82.28571428571429</v>
      </c>
      <c r="P606" s="8">
        <v>85</v>
      </c>
      <c r="Q606" s="137">
        <f>P606*100/75</f>
        <v>113.33333333333333</v>
      </c>
    </row>
    <row r="607" spans="3:17" ht="19.5" thickBot="1">
      <c r="C607" s="29">
        <v>68</v>
      </c>
      <c r="D607" s="137">
        <f aca="true" t="shared" si="59" ref="D607:D616">C607*70/60</f>
        <v>79.33333333333333</v>
      </c>
      <c r="H607" s="4">
        <v>79</v>
      </c>
      <c r="I607" s="137">
        <f aca="true" t="shared" si="60" ref="I607:I616">H607*90/70</f>
        <v>101.57142857142857</v>
      </c>
      <c r="M607" s="8">
        <v>85</v>
      </c>
      <c r="N607" s="137">
        <f>M607*80/75</f>
        <v>90.66666666666667</v>
      </c>
      <c r="P607" s="9">
        <v>85</v>
      </c>
      <c r="Q607" s="137">
        <f>P607*100/75</f>
        <v>113.33333333333333</v>
      </c>
    </row>
    <row r="608" spans="3:17" ht="19.5" thickBot="1">
      <c r="C608" s="29">
        <v>3</v>
      </c>
      <c r="D608" s="137">
        <f t="shared" si="59"/>
        <v>3.5</v>
      </c>
      <c r="H608" s="4">
        <v>4</v>
      </c>
      <c r="I608" s="137">
        <f t="shared" si="60"/>
        <v>5.142857142857143</v>
      </c>
      <c r="M608" s="9">
        <v>85</v>
      </c>
      <c r="N608" s="137">
        <f>M608*80/75</f>
        <v>90.66666666666667</v>
      </c>
      <c r="P608" s="9">
        <v>81</v>
      </c>
      <c r="Q608" s="137">
        <f>P608*100/75</f>
        <v>108</v>
      </c>
    </row>
    <row r="609" spans="3:14" ht="19.5" thickBot="1">
      <c r="C609" s="29">
        <v>2</v>
      </c>
      <c r="D609" s="137">
        <f t="shared" si="59"/>
        <v>2.3333333333333335</v>
      </c>
      <c r="H609" s="4">
        <v>3</v>
      </c>
      <c r="I609" s="137">
        <f t="shared" si="60"/>
        <v>3.857142857142857</v>
      </c>
      <c r="M609" s="9">
        <v>81</v>
      </c>
      <c r="N609" s="137">
        <f>M609*80/75</f>
        <v>86.4</v>
      </c>
    </row>
    <row r="610" spans="3:9" ht="19.5" thickBot="1">
      <c r="C610" s="29"/>
      <c r="D610" s="137">
        <f t="shared" si="59"/>
        <v>0</v>
      </c>
      <c r="H610" s="4"/>
      <c r="I610" s="137">
        <f t="shared" si="60"/>
        <v>0</v>
      </c>
    </row>
    <row r="611" spans="3:9" ht="19.5" thickBot="1">
      <c r="C611" s="29">
        <v>4</v>
      </c>
      <c r="D611" s="137">
        <f t="shared" si="59"/>
        <v>4.666666666666667</v>
      </c>
      <c r="H611" s="4">
        <v>5</v>
      </c>
      <c r="I611" s="137">
        <f t="shared" si="60"/>
        <v>6.428571428571429</v>
      </c>
    </row>
    <row r="612" spans="3:14" ht="19.5" thickBot="1">
      <c r="C612" s="29">
        <v>4</v>
      </c>
      <c r="D612" s="137">
        <f t="shared" si="59"/>
        <v>4.666666666666667</v>
      </c>
      <c r="H612" s="4">
        <v>5</v>
      </c>
      <c r="I612" s="137">
        <f t="shared" si="60"/>
        <v>6.428571428571429</v>
      </c>
      <c r="M612" s="8">
        <v>169</v>
      </c>
      <c r="N612" s="137">
        <f>M612*50/60</f>
        <v>140.83333333333334</v>
      </c>
    </row>
    <row r="613" spans="3:14" ht="19.5" thickBot="1">
      <c r="C613" s="29">
        <v>2</v>
      </c>
      <c r="D613" s="137">
        <f t="shared" si="59"/>
        <v>2.3333333333333335</v>
      </c>
      <c r="H613" s="4">
        <v>2</v>
      </c>
      <c r="I613" s="137">
        <f t="shared" si="60"/>
        <v>2.5714285714285716</v>
      </c>
      <c r="M613" s="9">
        <v>169</v>
      </c>
      <c r="N613" s="137">
        <f aca="true" t="shared" si="61" ref="N613:N621">M613*50/60</f>
        <v>140.83333333333334</v>
      </c>
    </row>
    <row r="614" spans="3:14" ht="19.5" thickBot="1">
      <c r="C614" s="29">
        <v>1</v>
      </c>
      <c r="D614" s="137">
        <f t="shared" si="59"/>
        <v>1.1666666666666667</v>
      </c>
      <c r="H614" s="4">
        <v>1.2</v>
      </c>
      <c r="I614" s="137">
        <f t="shared" si="60"/>
        <v>1.542857142857143</v>
      </c>
      <c r="M614" s="9">
        <v>162</v>
      </c>
      <c r="N614" s="137">
        <f t="shared" si="61"/>
        <v>135</v>
      </c>
    </row>
    <row r="615" spans="3:14" ht="19.5" thickBot="1">
      <c r="C615" s="29">
        <v>30</v>
      </c>
      <c r="D615" s="137">
        <f t="shared" si="59"/>
        <v>35</v>
      </c>
      <c r="H615" s="4">
        <v>35</v>
      </c>
      <c r="I615" s="137">
        <f t="shared" si="60"/>
        <v>45</v>
      </c>
      <c r="M615" s="9">
        <v>79</v>
      </c>
      <c r="N615" s="137">
        <f t="shared" si="61"/>
        <v>65.83333333333333</v>
      </c>
    </row>
    <row r="616" spans="3:14" ht="19.5" thickBot="1">
      <c r="C616" s="29">
        <v>30</v>
      </c>
      <c r="D616" s="137">
        <f t="shared" si="59"/>
        <v>35</v>
      </c>
      <c r="H616" s="4">
        <v>35</v>
      </c>
      <c r="I616" s="137">
        <f t="shared" si="60"/>
        <v>45</v>
      </c>
      <c r="M616" s="9">
        <v>1.5</v>
      </c>
      <c r="N616" s="137">
        <f t="shared" si="61"/>
        <v>1.25</v>
      </c>
    </row>
    <row r="617" spans="13:14" ht="19.5" thickBot="1">
      <c r="M617" s="9"/>
      <c r="N617" s="137">
        <f t="shared" si="61"/>
        <v>0</v>
      </c>
    </row>
    <row r="618" spans="13:14" ht="19.5" thickBot="1">
      <c r="M618" s="9">
        <v>2</v>
      </c>
      <c r="N618" s="137">
        <f t="shared" si="61"/>
        <v>1.6666666666666667</v>
      </c>
    </row>
    <row r="619" spans="13:14" ht="19.5" thickBot="1">
      <c r="M619" s="9">
        <v>2</v>
      </c>
      <c r="N619" s="137">
        <f t="shared" si="61"/>
        <v>1.6666666666666667</v>
      </c>
    </row>
    <row r="620" spans="13:14" ht="19.5" thickBot="1">
      <c r="M620" s="9">
        <v>60</v>
      </c>
      <c r="N620" s="137">
        <f t="shared" si="61"/>
        <v>50</v>
      </c>
    </row>
    <row r="621" spans="13:14" ht="19.5" thickBot="1">
      <c r="M621" s="9">
        <v>60</v>
      </c>
      <c r="N621" s="137">
        <f t="shared" si="61"/>
        <v>50</v>
      </c>
    </row>
    <row r="627" ht="19.5" thickBot="1"/>
    <row r="628" spans="5:6" ht="19.5" thickBot="1">
      <c r="E628" s="3">
        <v>147</v>
      </c>
      <c r="F628" s="137">
        <f>E628*140/130</f>
        <v>158.30769230769232</v>
      </c>
    </row>
    <row r="629" spans="5:10" ht="19.5" thickBot="1">
      <c r="E629" s="4">
        <v>147</v>
      </c>
      <c r="F629" s="137">
        <f aca="true" t="shared" si="62" ref="F629:F642">E629*140/130</f>
        <v>158.30769230769232</v>
      </c>
      <c r="I629" s="8">
        <v>183</v>
      </c>
      <c r="J629" s="137">
        <f>I629*60/70</f>
        <v>156.85714285714286</v>
      </c>
    </row>
    <row r="630" spans="5:10" ht="19.5" thickBot="1">
      <c r="E630" s="4">
        <v>141</v>
      </c>
      <c r="F630" s="137">
        <f t="shared" si="62"/>
        <v>151.84615384615384</v>
      </c>
      <c r="I630" s="9">
        <v>154</v>
      </c>
      <c r="J630" s="137">
        <f aca="true" t="shared" si="63" ref="J630:J654">I630*60/70</f>
        <v>132</v>
      </c>
    </row>
    <row r="631" spans="5:10" ht="19.5" thickBot="1">
      <c r="E631" s="4">
        <v>68</v>
      </c>
      <c r="F631" s="137">
        <f t="shared" si="62"/>
        <v>73.23076923076923</v>
      </c>
      <c r="I631" s="9">
        <v>176</v>
      </c>
      <c r="J631" s="137">
        <f t="shared" si="63"/>
        <v>150.85714285714286</v>
      </c>
    </row>
    <row r="632" spans="5:15" ht="19.5" thickBot="1">
      <c r="E632" s="4">
        <v>46</v>
      </c>
      <c r="F632" s="137">
        <f t="shared" si="62"/>
        <v>49.53846153846154</v>
      </c>
      <c r="I632" s="9">
        <v>154</v>
      </c>
      <c r="J632" s="137">
        <f t="shared" si="63"/>
        <v>132</v>
      </c>
      <c r="L632" s="131">
        <v>9.49</v>
      </c>
      <c r="M632" s="131">
        <v>7.21</v>
      </c>
      <c r="N632" s="131">
        <v>28.63</v>
      </c>
      <c r="O632" s="131">
        <v>103.72</v>
      </c>
    </row>
    <row r="633" spans="5:10" ht="19.5" thickBot="1">
      <c r="E633" s="4">
        <v>1.3</v>
      </c>
      <c r="F633" s="137">
        <f t="shared" si="62"/>
        <v>1.4</v>
      </c>
      <c r="I633" s="9">
        <v>203</v>
      </c>
      <c r="J633" s="137">
        <f t="shared" si="63"/>
        <v>174</v>
      </c>
    </row>
    <row r="634" spans="5:10" ht="19.5" thickBot="1">
      <c r="E634" s="4">
        <v>1.3</v>
      </c>
      <c r="F634" s="137">
        <f t="shared" si="62"/>
        <v>1.4</v>
      </c>
      <c r="I634" s="9">
        <v>151</v>
      </c>
      <c r="J634" s="137">
        <f t="shared" si="63"/>
        <v>129.42857142857142</v>
      </c>
    </row>
    <row r="635" spans="5:10" ht="19.5" thickBot="1">
      <c r="E635" s="4">
        <v>7</v>
      </c>
      <c r="F635" s="137">
        <f t="shared" si="62"/>
        <v>7.538461538461538</v>
      </c>
      <c r="I635" s="9">
        <v>190</v>
      </c>
      <c r="J635" s="137">
        <f t="shared" si="63"/>
        <v>162.85714285714286</v>
      </c>
    </row>
    <row r="636" spans="5:10" ht="19.5" thickBot="1">
      <c r="E636" s="4"/>
      <c r="F636" s="137">
        <f t="shared" si="62"/>
        <v>0</v>
      </c>
      <c r="I636" s="9">
        <v>98</v>
      </c>
      <c r="J636" s="137">
        <f t="shared" si="63"/>
        <v>84</v>
      </c>
    </row>
    <row r="637" spans="5:10" ht="19.5" thickBot="1">
      <c r="E637" s="4">
        <v>7</v>
      </c>
      <c r="F637" s="137">
        <f t="shared" si="62"/>
        <v>7.538461538461538</v>
      </c>
      <c r="I637" s="9">
        <v>127</v>
      </c>
      <c r="J637" s="137">
        <f t="shared" si="63"/>
        <v>108.85714285714286</v>
      </c>
    </row>
    <row r="638" spans="5:10" ht="19.5" thickBot="1">
      <c r="E638" s="4">
        <v>7</v>
      </c>
      <c r="F638" s="137">
        <f t="shared" si="62"/>
        <v>7.538461538461538</v>
      </c>
      <c r="I638" s="9">
        <v>109</v>
      </c>
      <c r="J638" s="137">
        <f t="shared" si="63"/>
        <v>93.42857142857143</v>
      </c>
    </row>
    <row r="639" spans="5:10" ht="19.5" thickBot="1">
      <c r="E639" s="4">
        <v>32</v>
      </c>
      <c r="F639" s="137">
        <f t="shared" si="62"/>
        <v>34.46153846153846</v>
      </c>
      <c r="I639" s="9">
        <v>118</v>
      </c>
      <c r="J639" s="137">
        <f t="shared" si="63"/>
        <v>101.14285714285714</v>
      </c>
    </row>
    <row r="640" spans="5:10" ht="19.5" thickBot="1">
      <c r="E640" s="4">
        <v>68</v>
      </c>
      <c r="F640" s="137">
        <f t="shared" si="62"/>
        <v>73.23076923076923</v>
      </c>
      <c r="I640" s="9">
        <v>104</v>
      </c>
      <c r="J640" s="137">
        <f t="shared" si="63"/>
        <v>89.14285714285714</v>
      </c>
    </row>
    <row r="641" spans="5:10" ht="19.5" thickBot="1">
      <c r="E641" s="4">
        <v>91</v>
      </c>
      <c r="F641" s="137">
        <f t="shared" si="62"/>
        <v>98</v>
      </c>
      <c r="I641" s="9">
        <v>17</v>
      </c>
      <c r="J641" s="137">
        <f t="shared" si="63"/>
        <v>14.571428571428571</v>
      </c>
    </row>
    <row r="642" spans="5:10" ht="19.5" thickBot="1">
      <c r="E642" s="4">
        <v>130</v>
      </c>
      <c r="F642" s="137">
        <f t="shared" si="62"/>
        <v>140</v>
      </c>
      <c r="I642" s="9"/>
      <c r="J642" s="137">
        <f t="shared" si="63"/>
        <v>0</v>
      </c>
    </row>
    <row r="643" spans="9:10" ht="19.5" thickBot="1">
      <c r="I643" s="9">
        <v>31</v>
      </c>
      <c r="J643" s="137">
        <f t="shared" si="63"/>
        <v>26.571428571428573</v>
      </c>
    </row>
    <row r="644" spans="9:10" ht="19.5" thickBot="1">
      <c r="I644" s="9">
        <v>32</v>
      </c>
      <c r="J644" s="137">
        <f t="shared" si="63"/>
        <v>27.428571428571427</v>
      </c>
    </row>
    <row r="645" spans="9:10" ht="19.5" thickBot="1">
      <c r="I645" s="9">
        <v>6</v>
      </c>
      <c r="J645" s="137">
        <f t="shared" si="63"/>
        <v>5.142857142857143</v>
      </c>
    </row>
    <row r="646" spans="9:10" ht="19.5" thickBot="1">
      <c r="I646" s="9"/>
      <c r="J646" s="137">
        <f t="shared" si="63"/>
        <v>0</v>
      </c>
    </row>
    <row r="647" spans="9:10" ht="19.5" thickBot="1">
      <c r="I647" s="9">
        <v>0.6</v>
      </c>
      <c r="J647" s="137">
        <f t="shared" si="63"/>
        <v>0.5142857142857142</v>
      </c>
    </row>
    <row r="648" spans="9:10" ht="19.5" thickBot="1">
      <c r="I648" s="9">
        <v>0.6</v>
      </c>
      <c r="J648" s="137">
        <f t="shared" si="63"/>
        <v>0.5142857142857142</v>
      </c>
    </row>
    <row r="649" spans="9:10" ht="19.5" thickBot="1">
      <c r="I649" s="9">
        <v>11</v>
      </c>
      <c r="J649" s="137">
        <f t="shared" si="63"/>
        <v>9.428571428571429</v>
      </c>
    </row>
    <row r="650" spans="9:10" ht="19.5" thickBot="1">
      <c r="I650" s="9"/>
      <c r="J650" s="137">
        <f t="shared" si="63"/>
        <v>0</v>
      </c>
    </row>
    <row r="651" spans="9:10" ht="19.5" thickBot="1">
      <c r="I651" s="9">
        <v>10</v>
      </c>
      <c r="J651" s="137">
        <f t="shared" si="63"/>
        <v>8.571428571428571</v>
      </c>
    </row>
    <row r="652" spans="9:10" ht="19.5" thickBot="1">
      <c r="I652" s="9">
        <v>20</v>
      </c>
      <c r="J652" s="137">
        <f t="shared" si="63"/>
        <v>17.142857142857142</v>
      </c>
    </row>
    <row r="653" spans="9:10" ht="19.5" thickBot="1">
      <c r="I653" s="9">
        <v>70</v>
      </c>
      <c r="J653" s="137">
        <f t="shared" si="63"/>
        <v>60</v>
      </c>
    </row>
    <row r="654" spans="9:10" ht="19.5" thickBot="1">
      <c r="I654" s="9">
        <v>90</v>
      </c>
      <c r="J654" s="137">
        <f t="shared" si="63"/>
        <v>77.14285714285714</v>
      </c>
    </row>
    <row r="656" ht="19.5" thickBot="1"/>
    <row r="657" spans="14:15" ht="19.5" thickBot="1">
      <c r="N657" s="8">
        <v>90</v>
      </c>
      <c r="O657" s="137">
        <f>N657*90/100</f>
        <v>81</v>
      </c>
    </row>
    <row r="658" spans="14:15" ht="19.5" thickBot="1">
      <c r="N658" s="9">
        <v>3</v>
      </c>
      <c r="O658" s="137">
        <f aca="true" t="shared" si="64" ref="O658:O663">N658*90/100</f>
        <v>2.7</v>
      </c>
    </row>
    <row r="659" spans="4:15" ht="19.5" thickBot="1">
      <c r="D659" s="8">
        <v>4.12</v>
      </c>
      <c r="E659" s="7">
        <v>3.55</v>
      </c>
      <c r="F659" s="7">
        <v>6.82</v>
      </c>
      <c r="G659" s="7">
        <v>76.68</v>
      </c>
      <c r="H659" s="7">
        <v>170.4</v>
      </c>
      <c r="I659" s="7">
        <v>0.14</v>
      </c>
      <c r="J659" s="7">
        <v>0.06</v>
      </c>
      <c r="K659" s="7">
        <v>0.21</v>
      </c>
      <c r="L659" s="7">
        <v>1.85</v>
      </c>
      <c r="N659" s="9">
        <v>10</v>
      </c>
      <c r="O659" s="137">
        <f t="shared" si="64"/>
        <v>9</v>
      </c>
    </row>
    <row r="660" spans="4:15" ht="19.5" thickBot="1">
      <c r="D660" s="137">
        <f>D659*150/142</f>
        <v>4.352112676056338</v>
      </c>
      <c r="E660" s="137">
        <f aca="true" t="shared" si="65" ref="E660:L660">E659*150/142</f>
        <v>3.75</v>
      </c>
      <c r="F660" s="137">
        <f t="shared" si="65"/>
        <v>7.204225352112676</v>
      </c>
      <c r="G660" s="137">
        <f t="shared" si="65"/>
        <v>81.00000000000001</v>
      </c>
      <c r="H660" s="137">
        <f t="shared" si="65"/>
        <v>180</v>
      </c>
      <c r="I660" s="137">
        <f t="shared" si="65"/>
        <v>0.147887323943662</v>
      </c>
      <c r="J660" s="137">
        <f t="shared" si="65"/>
        <v>0.06338028169014084</v>
      </c>
      <c r="K660" s="137">
        <f t="shared" si="65"/>
        <v>0.22183098591549297</v>
      </c>
      <c r="L660" s="137">
        <f t="shared" si="65"/>
        <v>1.954225352112676</v>
      </c>
      <c r="N660" s="9">
        <v>13</v>
      </c>
      <c r="O660" s="137">
        <f t="shared" si="64"/>
        <v>11.7</v>
      </c>
    </row>
    <row r="661" spans="14:15" ht="19.5" thickBot="1">
      <c r="N661" s="9">
        <v>113</v>
      </c>
      <c r="O661" s="137">
        <f t="shared" si="64"/>
        <v>101.7</v>
      </c>
    </row>
    <row r="662" spans="14:15" ht="19.5" thickBot="1">
      <c r="N662" s="9">
        <v>2</v>
      </c>
      <c r="O662" s="137">
        <f t="shared" si="64"/>
        <v>1.8</v>
      </c>
    </row>
    <row r="663" spans="14:15" ht="19.5" thickBot="1">
      <c r="N663" s="9">
        <v>100</v>
      </c>
      <c r="O663" s="137">
        <f t="shared" si="64"/>
        <v>90</v>
      </c>
    </row>
    <row r="669" ht="19.5" thickBot="1"/>
    <row r="670" spans="8:9" ht="19.5" thickBot="1">
      <c r="H670" s="3">
        <v>80</v>
      </c>
      <c r="I670" s="137">
        <f>H670*115/90</f>
        <v>102.22222222222223</v>
      </c>
    </row>
    <row r="671" spans="8:12" ht="19.5" thickBot="1">
      <c r="H671" s="4">
        <v>3</v>
      </c>
      <c r="I671" s="137">
        <f aca="true" t="shared" si="66" ref="I671:I677">H671*115/90</f>
        <v>3.8333333333333335</v>
      </c>
      <c r="K671" s="8">
        <v>46</v>
      </c>
      <c r="L671" s="137">
        <f>K671*120/100</f>
        <v>55.2</v>
      </c>
    </row>
    <row r="672" spans="8:12" ht="19.5" thickBot="1">
      <c r="H672" s="4">
        <v>9</v>
      </c>
      <c r="I672" s="137">
        <f t="shared" si="66"/>
        <v>11.5</v>
      </c>
      <c r="K672" s="9">
        <v>68</v>
      </c>
      <c r="L672" s="137">
        <f>K672*120/100</f>
        <v>81.6</v>
      </c>
    </row>
    <row r="673" spans="8:12" ht="19.5" thickBot="1">
      <c r="H673" s="4">
        <v>12</v>
      </c>
      <c r="I673" s="137">
        <f t="shared" si="66"/>
        <v>15.333333333333334</v>
      </c>
      <c r="K673" s="9">
        <v>97</v>
      </c>
      <c r="L673" s="137">
        <f>K673*120/100</f>
        <v>116.4</v>
      </c>
    </row>
    <row r="674" spans="8:12" ht="19.5" thickBot="1">
      <c r="H674" s="4">
        <v>102</v>
      </c>
      <c r="I674" s="137">
        <f t="shared" si="66"/>
        <v>130.33333333333334</v>
      </c>
      <c r="K674" s="9">
        <v>3</v>
      </c>
      <c r="L674" s="137">
        <f>K674*120/100</f>
        <v>3.6</v>
      </c>
    </row>
    <row r="675" spans="8:12" ht="19.5" thickBot="1">
      <c r="H675" s="4">
        <v>2</v>
      </c>
      <c r="I675" s="137">
        <f t="shared" si="66"/>
        <v>2.5555555555555554</v>
      </c>
      <c r="K675" s="9">
        <v>100</v>
      </c>
      <c r="L675" s="137">
        <f>K675*120/100</f>
        <v>120</v>
      </c>
    </row>
    <row r="676" spans="8:9" ht="19.5" thickBot="1">
      <c r="H676" s="4">
        <v>90</v>
      </c>
      <c r="I676" s="137">
        <f t="shared" si="66"/>
        <v>115</v>
      </c>
    </row>
    <row r="677" spans="8:9" ht="19.5" thickBot="1">
      <c r="H677" s="9">
        <v>20</v>
      </c>
      <c r="I677" s="137">
        <f t="shared" si="66"/>
        <v>25.555555555555557</v>
      </c>
    </row>
    <row r="685" ht="19.5" thickBot="1"/>
    <row r="686" spans="3:8" ht="19.5" thickBot="1">
      <c r="C686" s="28">
        <v>45</v>
      </c>
      <c r="D686" s="137">
        <f>C686*55/70</f>
        <v>35.357142857142854</v>
      </c>
      <c r="G686" s="3">
        <v>36</v>
      </c>
      <c r="H686" s="137">
        <f>G686*45/55</f>
        <v>29.454545454545453</v>
      </c>
    </row>
    <row r="687" spans="3:12" ht="19.5" thickBot="1">
      <c r="C687" s="29">
        <v>2</v>
      </c>
      <c r="D687" s="137">
        <f aca="true" t="shared" si="67" ref="D687:D698">C687*55/70</f>
        <v>1.5714285714285714</v>
      </c>
      <c r="G687" s="4">
        <v>1.6</v>
      </c>
      <c r="H687" s="137">
        <f aca="true" t="shared" si="68" ref="H687:H698">G687*45/55</f>
        <v>1.309090909090909</v>
      </c>
      <c r="K687" s="8">
        <v>163</v>
      </c>
      <c r="L687" s="137">
        <f>K687*145/125</f>
        <v>189.08</v>
      </c>
    </row>
    <row r="688" spans="3:12" ht="19.5" thickBot="1">
      <c r="C688" s="29">
        <v>5</v>
      </c>
      <c r="D688" s="137">
        <f t="shared" si="67"/>
        <v>3.9285714285714284</v>
      </c>
      <c r="G688" s="4">
        <v>4</v>
      </c>
      <c r="H688" s="137">
        <f t="shared" si="68"/>
        <v>3.272727272727273</v>
      </c>
      <c r="K688" s="9">
        <v>173</v>
      </c>
      <c r="L688" s="137">
        <f aca="true" t="shared" si="69" ref="L688:L699">K688*145/125</f>
        <v>200.68</v>
      </c>
    </row>
    <row r="689" spans="3:12" ht="19.5" thickBot="1">
      <c r="C689" s="29">
        <v>1.4</v>
      </c>
      <c r="D689" s="137">
        <f t="shared" si="67"/>
        <v>1.1</v>
      </c>
      <c r="G689" s="4">
        <v>1.1</v>
      </c>
      <c r="H689" s="137">
        <f t="shared" si="68"/>
        <v>0.9000000000000001</v>
      </c>
      <c r="K689" s="9"/>
      <c r="L689" s="137">
        <f t="shared" si="69"/>
        <v>0</v>
      </c>
    </row>
    <row r="690" spans="3:12" ht="19.5" thickBot="1">
      <c r="C690" s="29">
        <v>1.4</v>
      </c>
      <c r="D690" s="137">
        <f t="shared" si="67"/>
        <v>1.1</v>
      </c>
      <c r="G690" s="4">
        <v>1.1</v>
      </c>
      <c r="H690" s="137">
        <f t="shared" si="68"/>
        <v>0.9000000000000001</v>
      </c>
      <c r="K690" s="9"/>
      <c r="L690" s="137">
        <f t="shared" si="69"/>
        <v>0</v>
      </c>
    </row>
    <row r="691" spans="3:12" ht="19.5" thickBot="1">
      <c r="C691" s="29">
        <v>0.4</v>
      </c>
      <c r="D691" s="137">
        <f t="shared" si="67"/>
        <v>0.3142857142857143</v>
      </c>
      <c r="G691" s="4">
        <v>0.3</v>
      </c>
      <c r="H691" s="137">
        <f t="shared" si="68"/>
        <v>0.24545454545454545</v>
      </c>
      <c r="K691" s="9">
        <v>31</v>
      </c>
      <c r="L691" s="137">
        <f t="shared" si="69"/>
        <v>35.96</v>
      </c>
    </row>
    <row r="692" spans="3:12" ht="19.5" thickBot="1">
      <c r="C692" s="29">
        <v>20</v>
      </c>
      <c r="D692" s="137">
        <f t="shared" si="67"/>
        <v>15.714285714285714</v>
      </c>
      <c r="G692" s="4">
        <v>16</v>
      </c>
      <c r="H692" s="137">
        <f t="shared" si="68"/>
        <v>13.090909090909092</v>
      </c>
      <c r="K692" s="9">
        <v>33</v>
      </c>
      <c r="L692" s="137">
        <f t="shared" si="69"/>
        <v>38.28</v>
      </c>
    </row>
    <row r="693" spans="3:12" ht="19.5" thickBot="1">
      <c r="C693" s="29">
        <v>73</v>
      </c>
      <c r="D693" s="137">
        <f t="shared" si="67"/>
        <v>57.357142857142854</v>
      </c>
      <c r="G693" s="4">
        <v>57</v>
      </c>
      <c r="H693" s="137">
        <f t="shared" si="68"/>
        <v>46.63636363636363</v>
      </c>
      <c r="K693" s="9">
        <v>35</v>
      </c>
      <c r="L693" s="137">
        <f t="shared" si="69"/>
        <v>40.6</v>
      </c>
    </row>
    <row r="694" spans="3:12" ht="19.5" thickBot="1">
      <c r="C694" s="29">
        <v>2</v>
      </c>
      <c r="D694" s="137">
        <f t="shared" si="67"/>
        <v>1.5714285714285714</v>
      </c>
      <c r="G694" s="4">
        <v>1.6</v>
      </c>
      <c r="H694" s="137">
        <f>G694*45/55</f>
        <v>1.309090909090909</v>
      </c>
      <c r="K694" s="9">
        <v>38</v>
      </c>
      <c r="L694" s="137">
        <f t="shared" si="69"/>
        <v>44.08</v>
      </c>
    </row>
    <row r="695" spans="3:12" ht="19.5" thickBot="1">
      <c r="C695" s="29">
        <v>1.7</v>
      </c>
      <c r="D695" s="137">
        <f t="shared" si="67"/>
        <v>1.3357142857142856</v>
      </c>
      <c r="G695" s="4">
        <v>1.3</v>
      </c>
      <c r="H695" s="137">
        <f t="shared" si="68"/>
        <v>1.0636363636363637</v>
      </c>
      <c r="K695" s="9"/>
      <c r="L695" s="137">
        <f t="shared" si="69"/>
        <v>0</v>
      </c>
    </row>
    <row r="696" spans="3:12" ht="19.5" thickBot="1">
      <c r="C696" s="29">
        <v>76</v>
      </c>
      <c r="D696" s="137">
        <f t="shared" si="67"/>
        <v>59.714285714285715</v>
      </c>
      <c r="G696" s="4">
        <v>60</v>
      </c>
      <c r="H696" s="137">
        <f t="shared" si="68"/>
        <v>49.09090909090909</v>
      </c>
      <c r="K696" s="9">
        <v>2</v>
      </c>
      <c r="L696" s="137">
        <f t="shared" si="69"/>
        <v>2.32</v>
      </c>
    </row>
    <row r="697" spans="3:12" ht="19.5" thickBot="1">
      <c r="C697" s="29">
        <v>0.2</v>
      </c>
      <c r="D697" s="137">
        <f t="shared" si="67"/>
        <v>0.15714285714285714</v>
      </c>
      <c r="G697" s="4">
        <v>0.2</v>
      </c>
      <c r="H697" s="137">
        <f t="shared" si="68"/>
        <v>0.16363636363636364</v>
      </c>
      <c r="K697" s="9">
        <v>11</v>
      </c>
      <c r="L697" s="137">
        <f t="shared" si="69"/>
        <v>12.76</v>
      </c>
    </row>
    <row r="698" spans="3:12" ht="19.5" thickBot="1">
      <c r="C698" s="29">
        <v>70</v>
      </c>
      <c r="D698" s="137">
        <f t="shared" si="67"/>
        <v>55</v>
      </c>
      <c r="G698" s="4">
        <v>55</v>
      </c>
      <c r="H698" s="137">
        <f t="shared" si="68"/>
        <v>45</v>
      </c>
      <c r="K698" s="4">
        <v>10</v>
      </c>
      <c r="L698" s="137">
        <f t="shared" si="69"/>
        <v>11.6</v>
      </c>
    </row>
    <row r="699" spans="11:12" ht="19.5" thickBot="1">
      <c r="K699" s="4">
        <v>125</v>
      </c>
      <c r="L699" s="137">
        <f t="shared" si="69"/>
        <v>145</v>
      </c>
    </row>
    <row r="704" ht="19.5" thickBot="1"/>
    <row r="705" spans="10:11" ht="19.5" thickBot="1">
      <c r="J705" s="3">
        <v>53</v>
      </c>
      <c r="K705" s="137">
        <f aca="true" t="shared" si="70" ref="K705:K710">J705*180/200</f>
        <v>47.7</v>
      </c>
    </row>
    <row r="706" spans="3:11" ht="19.5" thickBot="1">
      <c r="C706" s="28">
        <v>19</v>
      </c>
      <c r="D706" s="137">
        <f>C706*130/150</f>
        <v>16.466666666666665</v>
      </c>
      <c r="J706" s="4">
        <v>53</v>
      </c>
      <c r="K706" s="137">
        <f t="shared" si="70"/>
        <v>47.7</v>
      </c>
    </row>
    <row r="707" spans="3:11" ht="19.5" thickBot="1">
      <c r="C707" s="29">
        <v>113</v>
      </c>
      <c r="D707" s="137">
        <f aca="true" t="shared" si="71" ref="D707:D714">C707*130/150</f>
        <v>97.93333333333334</v>
      </c>
      <c r="J707" s="4">
        <v>12</v>
      </c>
      <c r="K707" s="137">
        <f t="shared" si="70"/>
        <v>10.8</v>
      </c>
    </row>
    <row r="708" spans="3:11" ht="19.5" thickBot="1">
      <c r="C708" s="29">
        <v>15</v>
      </c>
      <c r="D708" s="137">
        <f t="shared" si="71"/>
        <v>13</v>
      </c>
      <c r="J708" s="4">
        <v>107</v>
      </c>
      <c r="K708" s="137">
        <f t="shared" si="70"/>
        <v>96.3</v>
      </c>
    </row>
    <row r="709" spans="3:11" ht="19.5" thickBot="1">
      <c r="C709" s="29">
        <v>102</v>
      </c>
      <c r="D709" s="137">
        <f t="shared" si="71"/>
        <v>88.4</v>
      </c>
      <c r="J709" s="4">
        <v>28</v>
      </c>
      <c r="K709" s="137">
        <f t="shared" si="70"/>
        <v>25.2</v>
      </c>
    </row>
    <row r="710" spans="3:11" ht="19.5" thickBot="1">
      <c r="C710" s="29">
        <v>26</v>
      </c>
      <c r="D710" s="137">
        <f t="shared" si="71"/>
        <v>22.533333333333335</v>
      </c>
      <c r="J710" s="9">
        <v>200</v>
      </c>
      <c r="K710" s="137">
        <f t="shared" si="70"/>
        <v>180</v>
      </c>
    </row>
    <row r="711" spans="3:4" ht="19.5" thickBot="1">
      <c r="C711" s="29">
        <v>4</v>
      </c>
      <c r="D711" s="137">
        <f t="shared" si="71"/>
        <v>3.466666666666667</v>
      </c>
    </row>
    <row r="712" spans="3:4" ht="19.5" thickBot="1">
      <c r="C712" s="29">
        <v>148</v>
      </c>
      <c r="D712" s="137">
        <f t="shared" si="71"/>
        <v>128.26666666666668</v>
      </c>
    </row>
    <row r="713" spans="3:4" ht="19.5" thickBot="1">
      <c r="C713" s="29">
        <v>2</v>
      </c>
      <c r="D713" s="137">
        <f t="shared" si="71"/>
        <v>1.7333333333333334</v>
      </c>
    </row>
    <row r="714" spans="3:4" ht="19.5" thickBot="1">
      <c r="C714" s="29">
        <v>150</v>
      </c>
      <c r="D714" s="137">
        <f t="shared" si="71"/>
        <v>130</v>
      </c>
    </row>
    <row r="721" ht="19.5" thickBot="1"/>
    <row r="722" spans="4:12" ht="19.5" thickBot="1">
      <c r="D722" s="8">
        <v>0.99</v>
      </c>
      <c r="E722" s="7">
        <v>4.04</v>
      </c>
      <c r="F722" s="7">
        <v>8.43</v>
      </c>
      <c r="G722" s="7">
        <v>74.67</v>
      </c>
      <c r="H722" s="7">
        <v>26.33</v>
      </c>
      <c r="I722" s="7">
        <v>0.99</v>
      </c>
      <c r="J722" s="7">
        <v>0.01</v>
      </c>
      <c r="K722" s="7">
        <v>0.01</v>
      </c>
      <c r="L722" s="7">
        <v>4.35</v>
      </c>
    </row>
    <row r="723" spans="4:12" ht="18.75">
      <c r="D723" s="137">
        <f>D722/2</f>
        <v>0.495</v>
      </c>
      <c r="E723" s="137">
        <f aca="true" t="shared" si="72" ref="E723:L723">E722/2</f>
        <v>2.02</v>
      </c>
      <c r="F723" s="137">
        <f t="shared" si="72"/>
        <v>4.215</v>
      </c>
      <c r="G723" s="137">
        <f t="shared" si="72"/>
        <v>37.335</v>
      </c>
      <c r="H723" s="137">
        <f t="shared" si="72"/>
        <v>13.165</v>
      </c>
      <c r="I723" s="137">
        <f t="shared" si="72"/>
        <v>0.495</v>
      </c>
      <c r="J723" s="137">
        <f t="shared" si="72"/>
        <v>0.005</v>
      </c>
      <c r="K723" s="137">
        <f t="shared" si="72"/>
        <v>0.005</v>
      </c>
      <c r="L723" s="137">
        <f t="shared" si="72"/>
        <v>2.175</v>
      </c>
    </row>
    <row r="731" ht="19.5" thickBot="1"/>
    <row r="732" spans="14:15" ht="19.5" thickBot="1">
      <c r="N732" s="8">
        <v>109</v>
      </c>
      <c r="O732" s="137">
        <f>N732/2</f>
        <v>54.5</v>
      </c>
    </row>
    <row r="733" spans="4:15" ht="19.5" thickBot="1">
      <c r="D733" s="8">
        <v>50</v>
      </c>
      <c r="E733" s="137">
        <f>D733*128/80</f>
        <v>80</v>
      </c>
      <c r="G733" s="3">
        <v>39</v>
      </c>
      <c r="H733" s="137">
        <f>G733*40/25</f>
        <v>62.4</v>
      </c>
      <c r="N733" s="9">
        <v>109</v>
      </c>
      <c r="O733" s="137">
        <f aca="true" t="shared" si="73" ref="O733:O738">N733/2</f>
        <v>54.5</v>
      </c>
    </row>
    <row r="734" spans="4:15" ht="19.5" thickBot="1">
      <c r="D734" s="9">
        <v>30</v>
      </c>
      <c r="E734" s="137">
        <f aca="true" t="shared" si="74" ref="E734:E739">D734*128/80</f>
        <v>48</v>
      </c>
      <c r="G734" s="4">
        <v>42</v>
      </c>
      <c r="H734" s="137">
        <f>G734*40/25</f>
        <v>67.2</v>
      </c>
      <c r="K734" s="3">
        <v>80</v>
      </c>
      <c r="L734" s="137">
        <f>K734*100/128</f>
        <v>62.5</v>
      </c>
      <c r="N734" s="9">
        <v>61</v>
      </c>
      <c r="O734" s="137">
        <f t="shared" si="73"/>
        <v>30.5</v>
      </c>
    </row>
    <row r="735" spans="4:15" ht="19.5" thickBot="1">
      <c r="D735" s="9">
        <v>80</v>
      </c>
      <c r="E735" s="137">
        <f t="shared" si="74"/>
        <v>128</v>
      </c>
      <c r="G735" s="4">
        <v>25</v>
      </c>
      <c r="H735" s="137">
        <f>G735*40/25</f>
        <v>40</v>
      </c>
      <c r="K735" s="4">
        <v>48</v>
      </c>
      <c r="L735" s="137">
        <f aca="true" t="shared" si="75" ref="L735:L740">K735*100/128</f>
        <v>37.5</v>
      </c>
      <c r="N735" s="9">
        <v>61</v>
      </c>
      <c r="O735" s="137">
        <f t="shared" si="73"/>
        <v>30.5</v>
      </c>
    </row>
    <row r="736" spans="4:15" ht="19.5" thickBot="1">
      <c r="D736" s="9">
        <v>1</v>
      </c>
      <c r="E736" s="137">
        <f t="shared" si="74"/>
        <v>1.6</v>
      </c>
      <c r="G736" s="4">
        <v>25</v>
      </c>
      <c r="H736" s="137">
        <f>G736*40/25</f>
        <v>40</v>
      </c>
      <c r="K736" s="4">
        <v>128</v>
      </c>
      <c r="L736" s="137">
        <f t="shared" si="75"/>
        <v>100</v>
      </c>
      <c r="N736" s="9">
        <v>62</v>
      </c>
      <c r="O736" s="137">
        <f t="shared" si="73"/>
        <v>31</v>
      </c>
    </row>
    <row r="737" spans="4:15" ht="19.5" thickBot="1">
      <c r="D737" s="9">
        <v>78</v>
      </c>
      <c r="E737" s="137">
        <f t="shared" si="74"/>
        <v>124.8</v>
      </c>
      <c r="K737" s="4">
        <v>2</v>
      </c>
      <c r="L737" s="137">
        <f t="shared" si="75"/>
        <v>1.5625</v>
      </c>
      <c r="N737" s="9">
        <v>80</v>
      </c>
      <c r="O737" s="137">
        <f t="shared" si="73"/>
        <v>40</v>
      </c>
    </row>
    <row r="738" spans="4:15" ht="19.5" thickBot="1">
      <c r="D738" s="9">
        <v>2</v>
      </c>
      <c r="E738" s="137">
        <f t="shared" si="74"/>
        <v>3.2</v>
      </c>
      <c r="K738" s="4">
        <v>125</v>
      </c>
      <c r="L738" s="137">
        <f t="shared" si="75"/>
        <v>97.65625</v>
      </c>
      <c r="O738" s="137">
        <f t="shared" si="73"/>
        <v>0</v>
      </c>
    </row>
    <row r="739" spans="4:12" ht="19.5" thickBot="1">
      <c r="D739" s="9">
        <v>80</v>
      </c>
      <c r="E739" s="137">
        <f t="shared" si="74"/>
        <v>128</v>
      </c>
      <c r="K739" s="4">
        <v>3</v>
      </c>
      <c r="L739" s="137">
        <f t="shared" si="75"/>
        <v>2.34375</v>
      </c>
    </row>
    <row r="740" spans="11:12" ht="19.5" thickBot="1">
      <c r="K740" s="4">
        <v>128</v>
      </c>
      <c r="L740" s="137">
        <f t="shared" si="75"/>
        <v>100</v>
      </c>
    </row>
    <row r="749" ht="19.5" thickBot="1"/>
    <row r="750" spans="3:11" ht="19.5" thickBot="1">
      <c r="C750" s="28">
        <v>19</v>
      </c>
      <c r="D750" s="137">
        <f>C750*140/150</f>
        <v>17.733333333333334</v>
      </c>
      <c r="J750" s="8">
        <v>60</v>
      </c>
      <c r="K750" s="137">
        <f>J750/2</f>
        <v>30</v>
      </c>
    </row>
    <row r="751" spans="3:11" ht="19.5" thickBot="1">
      <c r="C751" s="29">
        <v>113</v>
      </c>
      <c r="D751" s="137">
        <f aca="true" t="shared" si="76" ref="D751:D758">C751*140/150</f>
        <v>105.46666666666667</v>
      </c>
      <c r="F751" s="3">
        <v>18</v>
      </c>
      <c r="G751" s="137">
        <f>F751*160/140</f>
        <v>20.571428571428573</v>
      </c>
      <c r="J751" s="9">
        <v>64</v>
      </c>
      <c r="K751" s="137">
        <f aca="true" t="shared" si="77" ref="K751:K756">J751/2</f>
        <v>32</v>
      </c>
    </row>
    <row r="752" spans="3:11" ht="19.5" thickBot="1">
      <c r="C752" s="29">
        <v>15</v>
      </c>
      <c r="D752" s="137">
        <f t="shared" si="76"/>
        <v>14</v>
      </c>
      <c r="F752" s="4">
        <v>105</v>
      </c>
      <c r="G752" s="137">
        <f aca="true" t="shared" si="78" ref="G752:G759">F752*160/140</f>
        <v>120</v>
      </c>
      <c r="J752" s="9">
        <v>48</v>
      </c>
      <c r="K752" s="137">
        <f t="shared" si="77"/>
        <v>24</v>
      </c>
    </row>
    <row r="753" spans="3:11" ht="19.5" thickBot="1">
      <c r="C753" s="29">
        <v>102</v>
      </c>
      <c r="D753" s="137">
        <f t="shared" si="76"/>
        <v>95.2</v>
      </c>
      <c r="F753" s="4">
        <v>14</v>
      </c>
      <c r="G753" s="137">
        <f t="shared" si="78"/>
        <v>16</v>
      </c>
      <c r="J753" s="9">
        <v>8</v>
      </c>
      <c r="K753" s="137">
        <f t="shared" si="77"/>
        <v>4</v>
      </c>
    </row>
    <row r="754" spans="3:11" ht="19.5" thickBot="1">
      <c r="C754" s="29">
        <v>26</v>
      </c>
      <c r="D754" s="137">
        <f t="shared" si="76"/>
        <v>24.266666666666666</v>
      </c>
      <c r="F754" s="4">
        <v>95</v>
      </c>
      <c r="G754" s="137">
        <f t="shared" si="78"/>
        <v>108.57142857142857</v>
      </c>
      <c r="J754" s="9">
        <v>2</v>
      </c>
      <c r="K754" s="137">
        <f t="shared" si="77"/>
        <v>1</v>
      </c>
    </row>
    <row r="755" spans="3:11" ht="19.5" thickBot="1">
      <c r="C755" s="29">
        <v>4</v>
      </c>
      <c r="D755" s="137">
        <f t="shared" si="76"/>
        <v>3.7333333333333334</v>
      </c>
      <c r="F755" s="4">
        <v>24</v>
      </c>
      <c r="G755" s="137">
        <f t="shared" si="78"/>
        <v>27.428571428571427</v>
      </c>
      <c r="J755" s="9">
        <v>3</v>
      </c>
      <c r="K755" s="137">
        <f t="shared" si="77"/>
        <v>1.5</v>
      </c>
    </row>
    <row r="756" spans="3:11" ht="19.5" thickBot="1">
      <c r="C756" s="29">
        <v>148</v>
      </c>
      <c r="D756" s="137">
        <f t="shared" si="76"/>
        <v>138.13333333333333</v>
      </c>
      <c r="F756" s="4">
        <v>4</v>
      </c>
      <c r="G756" s="137">
        <f t="shared" si="78"/>
        <v>4.571428571428571</v>
      </c>
      <c r="J756" s="9">
        <v>60</v>
      </c>
      <c r="K756" s="137">
        <f t="shared" si="77"/>
        <v>30</v>
      </c>
    </row>
    <row r="757" spans="3:7" ht="19.5" thickBot="1">
      <c r="C757" s="29">
        <v>2</v>
      </c>
      <c r="D757" s="137">
        <f t="shared" si="76"/>
        <v>1.8666666666666667</v>
      </c>
      <c r="F757" s="4">
        <v>138</v>
      </c>
      <c r="G757" s="137">
        <f t="shared" si="78"/>
        <v>157.71428571428572</v>
      </c>
    </row>
    <row r="758" spans="3:7" ht="19.5" thickBot="1">
      <c r="C758" s="29">
        <v>150</v>
      </c>
      <c r="D758" s="137">
        <f t="shared" si="76"/>
        <v>140</v>
      </c>
      <c r="F758" s="4">
        <v>2</v>
      </c>
      <c r="G758" s="137">
        <f t="shared" si="78"/>
        <v>2.2857142857142856</v>
      </c>
    </row>
    <row r="759" spans="6:7" ht="19.5" thickBot="1">
      <c r="F759" s="4">
        <v>140</v>
      </c>
      <c r="G759" s="137">
        <f t="shared" si="78"/>
        <v>160</v>
      </c>
    </row>
    <row r="762" ht="19.5" thickBot="1"/>
    <row r="763" spans="4:5" ht="19.5" thickBot="1">
      <c r="D763" s="8">
        <v>15</v>
      </c>
      <c r="E763" s="137">
        <f>D763*140/150</f>
        <v>14</v>
      </c>
    </row>
    <row r="764" spans="4:14" ht="19.5" thickBot="1">
      <c r="D764" s="9">
        <v>113</v>
      </c>
      <c r="E764" s="137">
        <f aca="true" t="shared" si="79" ref="E764:E771">D764*140/150</f>
        <v>105.46666666666667</v>
      </c>
      <c r="I764" s="3">
        <v>14</v>
      </c>
      <c r="J764" s="137">
        <f>I764*160/140</f>
        <v>16</v>
      </c>
      <c r="M764" s="8">
        <v>53</v>
      </c>
      <c r="N764" s="137">
        <f>M764*25/60</f>
        <v>22.083333333333332</v>
      </c>
    </row>
    <row r="765" spans="4:14" ht="19.5" thickBot="1">
      <c r="D765" s="9">
        <v>15</v>
      </c>
      <c r="E765" s="137">
        <f t="shared" si="79"/>
        <v>14</v>
      </c>
      <c r="I765" s="4">
        <v>105</v>
      </c>
      <c r="J765" s="137">
        <f aca="true" t="shared" si="80" ref="J765:J772">I765*160/140</f>
        <v>120</v>
      </c>
      <c r="M765" s="9">
        <v>57</v>
      </c>
      <c r="N765" s="137">
        <f aca="true" t="shared" si="81" ref="N765:N773">M765*25/60</f>
        <v>23.75</v>
      </c>
    </row>
    <row r="766" spans="4:14" ht="19.5" thickBot="1">
      <c r="D766" s="9">
        <v>102</v>
      </c>
      <c r="E766" s="137">
        <f t="shared" si="79"/>
        <v>95.2</v>
      </c>
      <c r="I766" s="4">
        <v>14</v>
      </c>
      <c r="J766" s="137">
        <f t="shared" si="80"/>
        <v>16</v>
      </c>
      <c r="M766" s="9">
        <v>17</v>
      </c>
      <c r="N766" s="137">
        <f t="shared" si="81"/>
        <v>7.083333333333333</v>
      </c>
    </row>
    <row r="767" spans="4:14" ht="19.5" thickBot="1">
      <c r="D767" s="9">
        <v>27</v>
      </c>
      <c r="E767" s="137">
        <f t="shared" si="79"/>
        <v>25.2</v>
      </c>
      <c r="I767" s="4">
        <v>95</v>
      </c>
      <c r="J767" s="137">
        <f t="shared" si="80"/>
        <v>108.57142857142857</v>
      </c>
      <c r="M767" s="9">
        <v>4</v>
      </c>
      <c r="N767" s="137">
        <f t="shared" si="81"/>
        <v>1.6666666666666667</v>
      </c>
    </row>
    <row r="768" spans="4:14" ht="19.5" thickBot="1">
      <c r="D768" s="9">
        <v>4</v>
      </c>
      <c r="E768" s="137">
        <f t="shared" si="79"/>
        <v>3.7333333333333334</v>
      </c>
      <c r="I768" s="4">
        <v>25</v>
      </c>
      <c r="J768" s="137">
        <f t="shared" si="80"/>
        <v>28.571428571428573</v>
      </c>
      <c r="M768" s="9">
        <v>7</v>
      </c>
      <c r="N768" s="137">
        <f t="shared" si="81"/>
        <v>2.9166666666666665</v>
      </c>
    </row>
    <row r="769" spans="4:14" ht="19.5" thickBot="1">
      <c r="D769" s="9">
        <v>148</v>
      </c>
      <c r="E769" s="137">
        <f t="shared" si="79"/>
        <v>138.13333333333333</v>
      </c>
      <c r="I769" s="4">
        <v>4</v>
      </c>
      <c r="J769" s="137">
        <f t="shared" si="80"/>
        <v>4.571428571428571</v>
      </c>
      <c r="M769" s="9">
        <v>0.5</v>
      </c>
      <c r="N769" s="137">
        <f t="shared" si="81"/>
        <v>0.20833333333333334</v>
      </c>
    </row>
    <row r="770" spans="4:14" ht="19.5" thickBot="1">
      <c r="D770" s="9">
        <v>2</v>
      </c>
      <c r="E770" s="137">
        <f t="shared" si="79"/>
        <v>1.8666666666666667</v>
      </c>
      <c r="I770" s="4">
        <v>138</v>
      </c>
      <c r="J770" s="137">
        <f t="shared" si="80"/>
        <v>157.71428571428572</v>
      </c>
      <c r="M770" s="9">
        <v>2</v>
      </c>
      <c r="N770" s="137">
        <f t="shared" si="81"/>
        <v>0.8333333333333334</v>
      </c>
    </row>
    <row r="771" spans="4:14" ht="19.5" thickBot="1">
      <c r="D771" s="9">
        <v>150</v>
      </c>
      <c r="E771" s="137">
        <f t="shared" si="79"/>
        <v>140</v>
      </c>
      <c r="I771" s="4">
        <v>2</v>
      </c>
      <c r="J771" s="137">
        <f t="shared" si="80"/>
        <v>2.2857142857142856</v>
      </c>
      <c r="M771" s="9">
        <v>6</v>
      </c>
      <c r="N771" s="137">
        <f t="shared" si="81"/>
        <v>2.5</v>
      </c>
    </row>
    <row r="772" spans="9:14" ht="19.5" thickBot="1">
      <c r="I772" s="4">
        <v>140</v>
      </c>
      <c r="J772" s="137">
        <f t="shared" si="80"/>
        <v>160</v>
      </c>
      <c r="M772" s="9">
        <v>60</v>
      </c>
      <c r="N772" s="137">
        <f t="shared" si="81"/>
        <v>25</v>
      </c>
    </row>
    <row r="773" ht="18.75">
      <c r="N773" s="137">
        <f t="shared" si="81"/>
        <v>0</v>
      </c>
    </row>
    <row r="780" ht="19.5" thickBot="1"/>
    <row r="781" spans="3:13" ht="19.5" thickBot="1">
      <c r="C781" s="30">
        <v>105</v>
      </c>
      <c r="D781" s="137">
        <f>C781*90/100</f>
        <v>94.5</v>
      </c>
      <c r="H781" s="8">
        <v>135</v>
      </c>
      <c r="I781" s="137">
        <f>H781*130/150</f>
        <v>117</v>
      </c>
      <c r="L781" s="8">
        <v>71</v>
      </c>
      <c r="M781" s="137">
        <f aca="true" t="shared" si="82" ref="M781:M786">L781*25/60</f>
        <v>29.583333333333332</v>
      </c>
    </row>
    <row r="782" spans="3:13" ht="19.5" thickBot="1">
      <c r="C782" s="31">
        <v>4</v>
      </c>
      <c r="D782" s="137">
        <f aca="true" t="shared" si="83" ref="D782:D790">C782*90/100</f>
        <v>3.6</v>
      </c>
      <c r="H782" s="9">
        <v>18</v>
      </c>
      <c r="I782" s="137">
        <f aca="true" t="shared" si="84" ref="I782:I789">H782*130/150</f>
        <v>15.6</v>
      </c>
      <c r="L782" s="9">
        <v>75</v>
      </c>
      <c r="M782" s="137">
        <f t="shared" si="82"/>
        <v>31.25</v>
      </c>
    </row>
    <row r="783" spans="3:13" ht="19.5" thickBot="1">
      <c r="C783" s="31">
        <v>4</v>
      </c>
      <c r="D783" s="137">
        <f t="shared" si="83"/>
        <v>3.6</v>
      </c>
      <c r="H783" s="9">
        <v>122</v>
      </c>
      <c r="I783" s="137">
        <f t="shared" si="84"/>
        <v>105.73333333333333</v>
      </c>
      <c r="L783" s="9">
        <v>56</v>
      </c>
      <c r="M783" s="137">
        <f t="shared" si="82"/>
        <v>23.333333333333332</v>
      </c>
    </row>
    <row r="784" spans="3:13" ht="19.5" thickBot="1">
      <c r="C784" s="31"/>
      <c r="D784" s="137">
        <f t="shared" si="83"/>
        <v>0</v>
      </c>
      <c r="H784" s="9">
        <v>23</v>
      </c>
      <c r="I784" s="137">
        <f t="shared" si="84"/>
        <v>19.933333333333334</v>
      </c>
      <c r="L784" s="9">
        <v>0.3</v>
      </c>
      <c r="M784" s="137">
        <f t="shared" si="82"/>
        <v>0.125</v>
      </c>
    </row>
    <row r="785" spans="3:13" ht="19.5" thickBot="1">
      <c r="C785" s="31">
        <v>8</v>
      </c>
      <c r="D785" s="137">
        <f t="shared" si="83"/>
        <v>7.2</v>
      </c>
      <c r="H785" s="9">
        <v>9</v>
      </c>
      <c r="I785" s="137">
        <f t="shared" si="84"/>
        <v>7.8</v>
      </c>
      <c r="L785" s="9">
        <v>5</v>
      </c>
      <c r="M785" s="137">
        <f t="shared" si="82"/>
        <v>2.0833333333333335</v>
      </c>
    </row>
    <row r="786" spans="3:13" ht="19.5" thickBot="1">
      <c r="C786" s="31">
        <v>8</v>
      </c>
      <c r="D786" s="137">
        <f t="shared" si="83"/>
        <v>7.2</v>
      </c>
      <c r="H786" s="9">
        <v>12</v>
      </c>
      <c r="I786" s="137">
        <f t="shared" si="84"/>
        <v>10.4</v>
      </c>
      <c r="L786" s="9">
        <v>60</v>
      </c>
      <c r="M786" s="137">
        <f t="shared" si="82"/>
        <v>25</v>
      </c>
    </row>
    <row r="787" spans="3:9" ht="19.5" thickBot="1">
      <c r="C787" s="31">
        <v>5</v>
      </c>
      <c r="D787" s="137">
        <f t="shared" si="83"/>
        <v>4.5</v>
      </c>
      <c r="H787" s="9">
        <v>1.5</v>
      </c>
      <c r="I787" s="137">
        <f t="shared" si="84"/>
        <v>1.3</v>
      </c>
    </row>
    <row r="788" spans="3:9" ht="19.5" thickBot="1">
      <c r="C788" s="31">
        <v>1</v>
      </c>
      <c r="D788" s="137">
        <f t="shared" si="83"/>
        <v>0.9</v>
      </c>
      <c r="H788" s="9">
        <v>0.75</v>
      </c>
      <c r="I788" s="137">
        <f t="shared" si="84"/>
        <v>0.65</v>
      </c>
    </row>
    <row r="789" spans="3:9" ht="19.5" thickBot="1">
      <c r="C789" s="31">
        <v>3</v>
      </c>
      <c r="D789" s="137">
        <f t="shared" si="83"/>
        <v>2.7</v>
      </c>
      <c r="H789" s="9">
        <v>150</v>
      </c>
      <c r="I789" s="137">
        <f t="shared" si="84"/>
        <v>130</v>
      </c>
    </row>
    <row r="790" spans="3:4" ht="19.5" thickBot="1">
      <c r="C790" s="31">
        <v>100</v>
      </c>
      <c r="D790" s="137">
        <f t="shared" si="83"/>
        <v>90</v>
      </c>
    </row>
    <row r="796" ht="19.5" thickBot="1"/>
    <row r="797" spans="9:16" ht="19.5" thickBot="1">
      <c r="I797" s="3">
        <v>1</v>
      </c>
      <c r="J797" s="137">
        <f>I797*10/15</f>
        <v>0.6666666666666666</v>
      </c>
      <c r="L797" s="3">
        <v>85</v>
      </c>
      <c r="M797" s="137">
        <f>L797*80/100</f>
        <v>68</v>
      </c>
      <c r="O797" s="8">
        <v>15</v>
      </c>
      <c r="P797" s="137">
        <f>O797*140/150</f>
        <v>14</v>
      </c>
    </row>
    <row r="798" spans="4:16" ht="19.5" thickBot="1">
      <c r="D798" s="8">
        <v>2.3</v>
      </c>
      <c r="E798" s="137">
        <f>D798*15/35</f>
        <v>0.9857142857142858</v>
      </c>
      <c r="I798" s="4">
        <v>0.6</v>
      </c>
      <c r="J798" s="137">
        <f aca="true" t="shared" si="85" ref="J798:J805">I798*10/15</f>
        <v>0.4</v>
      </c>
      <c r="L798" s="4">
        <v>85</v>
      </c>
      <c r="M798" s="137">
        <f aca="true" t="shared" si="86" ref="M798:M804">L798*80/100</f>
        <v>68</v>
      </c>
      <c r="O798" s="9">
        <v>113</v>
      </c>
      <c r="P798" s="137">
        <f aca="true" t="shared" si="87" ref="P798:P805">O798*140/150</f>
        <v>105.46666666666667</v>
      </c>
    </row>
    <row r="799" spans="4:16" ht="19.5" thickBot="1">
      <c r="D799" s="9">
        <v>1.5</v>
      </c>
      <c r="E799" s="137">
        <f aca="true" t="shared" si="88" ref="E799:E806">D799*15/35</f>
        <v>0.6428571428571429</v>
      </c>
      <c r="I799" s="4">
        <v>0.6</v>
      </c>
      <c r="J799" s="137">
        <f t="shared" si="85"/>
        <v>0.4</v>
      </c>
      <c r="L799" s="4">
        <v>85</v>
      </c>
      <c r="M799" s="137">
        <f t="shared" si="86"/>
        <v>68</v>
      </c>
      <c r="O799" s="9">
        <v>15</v>
      </c>
      <c r="P799" s="137">
        <f t="shared" si="87"/>
        <v>14</v>
      </c>
    </row>
    <row r="800" spans="4:16" ht="19.5" thickBot="1">
      <c r="D800" s="9">
        <v>1.4</v>
      </c>
      <c r="E800" s="137">
        <f t="shared" si="88"/>
        <v>0.6</v>
      </c>
      <c r="I800" s="4">
        <v>1</v>
      </c>
      <c r="J800" s="137">
        <f t="shared" si="85"/>
        <v>0.6666666666666666</v>
      </c>
      <c r="L800" s="4">
        <v>85</v>
      </c>
      <c r="M800" s="137">
        <f t="shared" si="86"/>
        <v>68</v>
      </c>
      <c r="O800" s="9">
        <v>102</v>
      </c>
      <c r="P800" s="137">
        <f t="shared" si="87"/>
        <v>95.2</v>
      </c>
    </row>
    <row r="801" spans="4:16" ht="19.5" thickBot="1">
      <c r="D801" s="9">
        <v>2.3</v>
      </c>
      <c r="E801" s="137">
        <f t="shared" si="88"/>
        <v>0.9857142857142858</v>
      </c>
      <c r="I801" s="4"/>
      <c r="J801" s="137">
        <f t="shared" si="85"/>
        <v>0</v>
      </c>
      <c r="L801" s="4">
        <v>16</v>
      </c>
      <c r="M801" s="137">
        <f t="shared" si="86"/>
        <v>12.8</v>
      </c>
      <c r="O801" s="9">
        <v>27</v>
      </c>
      <c r="P801" s="137">
        <f t="shared" si="87"/>
        <v>25.2</v>
      </c>
    </row>
    <row r="802" spans="4:16" ht="19.5" thickBot="1">
      <c r="D802" s="9"/>
      <c r="E802" s="137">
        <f t="shared" si="88"/>
        <v>0</v>
      </c>
      <c r="I802" s="4">
        <v>3</v>
      </c>
      <c r="J802" s="137">
        <f t="shared" si="85"/>
        <v>2</v>
      </c>
      <c r="L802" s="4">
        <v>15</v>
      </c>
      <c r="M802" s="137">
        <f t="shared" si="86"/>
        <v>12</v>
      </c>
      <c r="O802" s="9">
        <v>4</v>
      </c>
      <c r="P802" s="137">
        <f t="shared" si="87"/>
        <v>3.7333333333333334</v>
      </c>
    </row>
    <row r="803" spans="4:16" ht="19.5" thickBot="1">
      <c r="D803" s="9">
        <v>7</v>
      </c>
      <c r="E803" s="137">
        <f t="shared" si="88"/>
        <v>3</v>
      </c>
      <c r="I803" s="4">
        <v>3</v>
      </c>
      <c r="J803" s="137">
        <f t="shared" si="85"/>
        <v>2</v>
      </c>
      <c r="L803" s="4">
        <v>3</v>
      </c>
      <c r="M803" s="137">
        <f t="shared" si="86"/>
        <v>2.4</v>
      </c>
      <c r="O803" s="9">
        <v>148</v>
      </c>
      <c r="P803" s="137">
        <f t="shared" si="87"/>
        <v>138.13333333333333</v>
      </c>
    </row>
    <row r="804" spans="4:16" ht="19.5" thickBot="1">
      <c r="D804" s="9">
        <v>7</v>
      </c>
      <c r="E804" s="137">
        <f t="shared" si="88"/>
        <v>3</v>
      </c>
      <c r="I804" s="4">
        <v>15</v>
      </c>
      <c r="J804" s="137">
        <f t="shared" si="85"/>
        <v>10</v>
      </c>
      <c r="L804" s="4">
        <v>100</v>
      </c>
      <c r="M804" s="137">
        <f t="shared" si="86"/>
        <v>80</v>
      </c>
      <c r="O804" s="9">
        <v>2</v>
      </c>
      <c r="P804" s="137">
        <f t="shared" si="87"/>
        <v>1.8666666666666667</v>
      </c>
    </row>
    <row r="805" spans="4:16" ht="19.5" thickBot="1">
      <c r="D805" s="9">
        <v>35</v>
      </c>
      <c r="E805" s="137">
        <f t="shared" si="88"/>
        <v>15</v>
      </c>
      <c r="I805" s="4">
        <v>15</v>
      </c>
      <c r="J805" s="137">
        <f t="shared" si="85"/>
        <v>10</v>
      </c>
      <c r="O805" s="9">
        <v>150</v>
      </c>
      <c r="P805" s="137">
        <f t="shared" si="87"/>
        <v>140</v>
      </c>
    </row>
    <row r="806" spans="4:5" ht="19.5" thickBot="1">
      <c r="D806" s="9">
        <v>35</v>
      </c>
      <c r="E806" s="137">
        <f t="shared" si="88"/>
        <v>15</v>
      </c>
    </row>
    <row r="812" ht="19.5" thickBot="1"/>
    <row r="813" spans="12:16" ht="19.5" thickBot="1">
      <c r="L813" s="8">
        <v>0.7</v>
      </c>
      <c r="M813" s="137">
        <f aca="true" t="shared" si="89" ref="M813:M818">L813*15/20</f>
        <v>0.525</v>
      </c>
      <c r="O813" s="3">
        <v>30</v>
      </c>
      <c r="P813" s="137">
        <f>O813*25/30</f>
        <v>25</v>
      </c>
    </row>
    <row r="814" spans="4:16" ht="19.5" thickBot="1">
      <c r="D814" s="3">
        <v>14</v>
      </c>
      <c r="E814" s="137">
        <f>D814*160/140</f>
        <v>16</v>
      </c>
      <c r="I814" s="8">
        <v>45</v>
      </c>
      <c r="J814" s="137">
        <f>I814*25/60</f>
        <v>18.75</v>
      </c>
      <c r="L814" s="9">
        <v>0.7</v>
      </c>
      <c r="M814" s="137">
        <f t="shared" si="89"/>
        <v>0.525</v>
      </c>
      <c r="O814" s="4">
        <v>32</v>
      </c>
      <c r="P814" s="137">
        <f aca="true" t="shared" si="90" ref="P814:P819">O814*25/30</f>
        <v>26.666666666666668</v>
      </c>
    </row>
    <row r="815" spans="4:16" ht="19.5" thickBot="1">
      <c r="D815" s="4">
        <v>105</v>
      </c>
      <c r="E815" s="137">
        <f aca="true" t="shared" si="91" ref="E815:E822">D815*160/140</f>
        <v>120</v>
      </c>
      <c r="I815" s="9">
        <v>48</v>
      </c>
      <c r="J815" s="137">
        <f aca="true" t="shared" si="92" ref="J815:J820">I815*25/60</f>
        <v>20</v>
      </c>
      <c r="L815" s="9">
        <v>11</v>
      </c>
      <c r="M815" s="137">
        <f t="shared" si="89"/>
        <v>8.25</v>
      </c>
      <c r="O815" s="4">
        <v>24</v>
      </c>
      <c r="P815" s="137">
        <f t="shared" si="90"/>
        <v>20</v>
      </c>
    </row>
    <row r="816" spans="4:16" ht="19.5" thickBot="1">
      <c r="D816" s="4">
        <v>14</v>
      </c>
      <c r="E816" s="137">
        <f t="shared" si="91"/>
        <v>16</v>
      </c>
      <c r="I816" s="9">
        <v>36</v>
      </c>
      <c r="J816" s="137">
        <f t="shared" si="92"/>
        <v>15</v>
      </c>
      <c r="L816" s="9">
        <v>10</v>
      </c>
      <c r="M816" s="137">
        <f t="shared" si="89"/>
        <v>7.5</v>
      </c>
      <c r="O816" s="4">
        <v>4</v>
      </c>
      <c r="P816" s="137">
        <f t="shared" si="90"/>
        <v>3.3333333333333335</v>
      </c>
    </row>
    <row r="817" spans="4:16" ht="19.5" thickBot="1">
      <c r="D817" s="4">
        <v>95</v>
      </c>
      <c r="E817" s="137">
        <f t="shared" si="91"/>
        <v>108.57142857142857</v>
      </c>
      <c r="I817" s="9">
        <v>31</v>
      </c>
      <c r="J817" s="137">
        <f t="shared" si="92"/>
        <v>12.916666666666666</v>
      </c>
      <c r="L817" s="9">
        <v>10</v>
      </c>
      <c r="M817" s="137">
        <f t="shared" si="89"/>
        <v>7.5</v>
      </c>
      <c r="O817" s="4">
        <v>1</v>
      </c>
      <c r="P817" s="137">
        <f t="shared" si="90"/>
        <v>0.8333333333333334</v>
      </c>
    </row>
    <row r="818" spans="4:16" ht="19.5" thickBot="1">
      <c r="D818" s="4">
        <v>25</v>
      </c>
      <c r="E818" s="137">
        <f t="shared" si="91"/>
        <v>28.571428571428573</v>
      </c>
      <c r="I818" s="9">
        <v>20</v>
      </c>
      <c r="J818" s="137">
        <f t="shared" si="92"/>
        <v>8.333333333333334</v>
      </c>
      <c r="L818" s="9">
        <v>20</v>
      </c>
      <c r="M818" s="137">
        <f t="shared" si="89"/>
        <v>15</v>
      </c>
      <c r="O818" s="4">
        <v>2</v>
      </c>
      <c r="P818" s="137">
        <f t="shared" si="90"/>
        <v>1.6666666666666667</v>
      </c>
    </row>
    <row r="819" spans="4:16" ht="19.5" thickBot="1">
      <c r="D819" s="4">
        <v>4</v>
      </c>
      <c r="E819" s="137">
        <f t="shared" si="91"/>
        <v>4.571428571428571</v>
      </c>
      <c r="I819" s="9">
        <v>5</v>
      </c>
      <c r="J819" s="137">
        <f t="shared" si="92"/>
        <v>2.0833333333333335</v>
      </c>
      <c r="O819" s="4">
        <v>30</v>
      </c>
      <c r="P819" s="137">
        <f t="shared" si="90"/>
        <v>25</v>
      </c>
    </row>
    <row r="820" spans="4:10" ht="19.5" thickBot="1">
      <c r="D820" s="4">
        <v>138</v>
      </c>
      <c r="E820" s="137">
        <f t="shared" si="91"/>
        <v>157.71428571428572</v>
      </c>
      <c r="I820" s="9">
        <v>60</v>
      </c>
      <c r="J820" s="137">
        <f t="shared" si="92"/>
        <v>25</v>
      </c>
    </row>
    <row r="821" spans="4:5" ht="19.5" thickBot="1">
      <c r="D821" s="4">
        <v>2</v>
      </c>
      <c r="E821" s="137">
        <f t="shared" si="91"/>
        <v>2.2857142857142856</v>
      </c>
    </row>
    <row r="822" spans="4:5" ht="19.5" thickBot="1">
      <c r="D822" s="4">
        <v>140</v>
      </c>
      <c r="E822" s="137">
        <f t="shared" si="91"/>
        <v>160</v>
      </c>
    </row>
    <row r="834" ht="19.5" thickBot="1"/>
    <row r="835" spans="4:18" ht="19.5" thickBot="1">
      <c r="D835" s="8">
        <v>116</v>
      </c>
      <c r="E835" s="137">
        <f>D835*135/150</f>
        <v>104.4</v>
      </c>
      <c r="G835" s="3">
        <v>104</v>
      </c>
      <c r="H835" s="137">
        <f>G835*160/135</f>
        <v>123.25925925925925</v>
      </c>
      <c r="K835" s="3">
        <v>98</v>
      </c>
      <c r="L835" s="137">
        <f>K835*75/80</f>
        <v>91.875</v>
      </c>
      <c r="N835" s="8">
        <v>56</v>
      </c>
      <c r="O835" s="137">
        <f>N835*110/140</f>
        <v>44</v>
      </c>
      <c r="Q835" s="8">
        <v>40</v>
      </c>
      <c r="R835" s="137">
        <f>Q835*180/200</f>
        <v>36</v>
      </c>
    </row>
    <row r="836" spans="4:18" ht="19.5" thickBot="1">
      <c r="D836" s="9">
        <v>15</v>
      </c>
      <c r="E836" s="137">
        <f aca="true" t="shared" si="93" ref="E836:E842">D836*135/150</f>
        <v>13.5</v>
      </c>
      <c r="G836" s="4">
        <v>14</v>
      </c>
      <c r="H836" s="137">
        <f aca="true" t="shared" si="94" ref="H836:H842">G836*160/135</f>
        <v>16.59259259259259</v>
      </c>
      <c r="K836" s="4">
        <v>104</v>
      </c>
      <c r="L836" s="137">
        <f aca="true" t="shared" si="95" ref="L836:L844">K836*75/80</f>
        <v>97.5</v>
      </c>
      <c r="N836" s="9">
        <v>56</v>
      </c>
      <c r="O836" s="137">
        <f>N836*110/140</f>
        <v>44</v>
      </c>
      <c r="Q836" s="9">
        <v>40</v>
      </c>
      <c r="R836" s="137">
        <f>Q836*180/200</f>
        <v>36</v>
      </c>
    </row>
    <row r="837" spans="4:18" ht="19.5" thickBot="1">
      <c r="D837" s="9">
        <v>104</v>
      </c>
      <c r="E837" s="137">
        <f t="shared" si="93"/>
        <v>93.6</v>
      </c>
      <c r="G837" s="4">
        <v>94</v>
      </c>
      <c r="H837" s="137">
        <f t="shared" si="94"/>
        <v>111.4074074074074</v>
      </c>
      <c r="K837" s="4">
        <v>77</v>
      </c>
      <c r="L837" s="137">
        <f t="shared" si="95"/>
        <v>72.1875</v>
      </c>
      <c r="N837" s="9">
        <v>4</v>
      </c>
      <c r="O837" s="137">
        <f>N837*110/140</f>
        <v>3.142857142857143</v>
      </c>
      <c r="Q837" s="9">
        <v>13</v>
      </c>
      <c r="R837" s="137">
        <f>Q837*180/200</f>
        <v>11.7</v>
      </c>
    </row>
    <row r="838" spans="4:18" ht="19.5" thickBot="1">
      <c r="D838" s="9">
        <v>23</v>
      </c>
      <c r="E838" s="137">
        <f t="shared" si="93"/>
        <v>20.7</v>
      </c>
      <c r="G838" s="4">
        <v>21</v>
      </c>
      <c r="H838" s="137">
        <f t="shared" si="94"/>
        <v>24.88888888888889</v>
      </c>
      <c r="K838" s="4">
        <v>2</v>
      </c>
      <c r="L838" s="137">
        <f t="shared" si="95"/>
        <v>1.875</v>
      </c>
      <c r="N838" s="9">
        <v>28</v>
      </c>
      <c r="O838" s="137">
        <f>N838*110/140</f>
        <v>22</v>
      </c>
      <c r="Q838" s="9">
        <v>170</v>
      </c>
      <c r="R838" s="137">
        <f>Q838*180/200</f>
        <v>153</v>
      </c>
    </row>
    <row r="839" spans="4:18" ht="19.5" thickBot="1">
      <c r="D839" s="9">
        <v>12</v>
      </c>
      <c r="E839" s="137">
        <f t="shared" si="93"/>
        <v>10.8</v>
      </c>
      <c r="G839" s="4">
        <v>11</v>
      </c>
      <c r="H839" s="137">
        <f t="shared" si="94"/>
        <v>13.037037037037036</v>
      </c>
      <c r="K839" s="4"/>
      <c r="L839" s="137">
        <f t="shared" si="95"/>
        <v>0</v>
      </c>
      <c r="N839" s="9">
        <v>140</v>
      </c>
      <c r="O839" s="137">
        <f>N839*110/140</f>
        <v>110</v>
      </c>
      <c r="Q839" s="9">
        <v>200</v>
      </c>
      <c r="R839" s="137">
        <f>Q839*180/200</f>
        <v>180</v>
      </c>
    </row>
    <row r="840" spans="4:12" ht="19.5" thickBot="1">
      <c r="D840" s="9">
        <v>0.75</v>
      </c>
      <c r="E840" s="137">
        <f t="shared" si="93"/>
        <v>0.675</v>
      </c>
      <c r="G840" s="4">
        <v>0.7</v>
      </c>
      <c r="H840" s="137">
        <f t="shared" si="94"/>
        <v>0.8296296296296296</v>
      </c>
      <c r="K840" s="4">
        <v>21</v>
      </c>
      <c r="L840" s="137">
        <f t="shared" si="95"/>
        <v>19.6875</v>
      </c>
    </row>
    <row r="841" spans="4:12" ht="19.5" thickBot="1">
      <c r="D841" s="9">
        <v>1.5</v>
      </c>
      <c r="E841" s="137">
        <f t="shared" si="93"/>
        <v>1.35</v>
      </c>
      <c r="G841" s="4">
        <v>1.4</v>
      </c>
      <c r="H841" s="137">
        <f t="shared" si="94"/>
        <v>1.6592592592592592</v>
      </c>
      <c r="K841" s="4">
        <v>2</v>
      </c>
      <c r="L841" s="137">
        <f t="shared" si="95"/>
        <v>1.875</v>
      </c>
    </row>
    <row r="842" spans="4:12" ht="19.5" thickBot="1">
      <c r="D842" s="9">
        <v>150</v>
      </c>
      <c r="E842" s="137">
        <f t="shared" si="93"/>
        <v>135</v>
      </c>
      <c r="G842" s="4">
        <v>135</v>
      </c>
      <c r="H842" s="137">
        <f t="shared" si="94"/>
        <v>160</v>
      </c>
      <c r="K842" s="4">
        <v>2</v>
      </c>
      <c r="L842" s="137">
        <f t="shared" si="95"/>
        <v>1.875</v>
      </c>
    </row>
    <row r="843" spans="11:12" ht="19.5" thickBot="1">
      <c r="K843" s="4">
        <v>20.5</v>
      </c>
      <c r="L843" s="137">
        <f t="shared" si="95"/>
        <v>19.21875</v>
      </c>
    </row>
    <row r="844" spans="11:12" ht="19.5" thickBot="1">
      <c r="K844" s="4">
        <v>80</v>
      </c>
      <c r="L844" s="137">
        <f t="shared" si="95"/>
        <v>75</v>
      </c>
    </row>
    <row r="847" ht="19.5" thickBot="1"/>
    <row r="848" spans="3:4" ht="19.5" thickBot="1">
      <c r="C848" s="28">
        <v>15</v>
      </c>
      <c r="D848" s="137">
        <f>C848*130/150</f>
        <v>13</v>
      </c>
    </row>
    <row r="849" spans="3:15" ht="19.5" thickBot="1">
      <c r="C849" s="29">
        <v>113</v>
      </c>
      <c r="D849" s="137">
        <f aca="true" t="shared" si="96" ref="D849:D856">C849*130/150</f>
        <v>97.93333333333334</v>
      </c>
      <c r="J849" s="8">
        <v>46</v>
      </c>
      <c r="K849" s="137">
        <f>J849*25/60</f>
        <v>19.166666666666668</v>
      </c>
      <c r="N849" s="8">
        <v>20</v>
      </c>
      <c r="O849" s="137">
        <f>N849*150/160</f>
        <v>18.75</v>
      </c>
    </row>
    <row r="850" spans="3:15" ht="19.5" thickBot="1">
      <c r="C850" s="29">
        <v>15</v>
      </c>
      <c r="D850" s="137">
        <f t="shared" si="96"/>
        <v>13</v>
      </c>
      <c r="J850" s="9">
        <v>49</v>
      </c>
      <c r="K850" s="137">
        <f aca="true" t="shared" si="97" ref="K850:K855">J850*25/60</f>
        <v>20.416666666666668</v>
      </c>
      <c r="N850" s="9">
        <v>8</v>
      </c>
      <c r="O850" s="137">
        <f>N850*150/160</f>
        <v>7.5</v>
      </c>
    </row>
    <row r="851" spans="3:15" ht="19.5" thickBot="1">
      <c r="C851" s="29">
        <v>102</v>
      </c>
      <c r="D851" s="137">
        <f t="shared" si="96"/>
        <v>88.4</v>
      </c>
      <c r="J851" s="9">
        <v>36</v>
      </c>
      <c r="K851" s="137">
        <f t="shared" si="97"/>
        <v>15</v>
      </c>
      <c r="N851" s="9">
        <v>158</v>
      </c>
      <c r="O851" s="137">
        <f>N851*150/160</f>
        <v>148.125</v>
      </c>
    </row>
    <row r="852" spans="3:15" ht="19.5" thickBot="1">
      <c r="C852" s="29">
        <v>27</v>
      </c>
      <c r="D852" s="137">
        <f t="shared" si="96"/>
        <v>23.4</v>
      </c>
      <c r="J852" s="9">
        <v>31</v>
      </c>
      <c r="K852" s="137">
        <f t="shared" si="97"/>
        <v>12.916666666666666</v>
      </c>
      <c r="N852" s="9">
        <v>160</v>
      </c>
      <c r="O852" s="137">
        <f>N852*150/160</f>
        <v>150</v>
      </c>
    </row>
    <row r="853" spans="3:11" ht="19.5" thickBot="1">
      <c r="C853" s="29">
        <v>4</v>
      </c>
      <c r="D853" s="137">
        <f t="shared" si="96"/>
        <v>3.466666666666667</v>
      </c>
      <c r="J853" s="9">
        <v>20</v>
      </c>
      <c r="K853" s="137">
        <f t="shared" si="97"/>
        <v>8.333333333333334</v>
      </c>
    </row>
    <row r="854" spans="3:11" ht="19.5" thickBot="1">
      <c r="C854" s="29">
        <v>142</v>
      </c>
      <c r="D854" s="137">
        <f t="shared" si="96"/>
        <v>123.06666666666666</v>
      </c>
      <c r="J854" s="9">
        <v>5</v>
      </c>
      <c r="K854" s="137">
        <f t="shared" si="97"/>
        <v>2.0833333333333335</v>
      </c>
    </row>
    <row r="855" spans="3:11" ht="19.5" thickBot="1">
      <c r="C855" s="29">
        <v>2</v>
      </c>
      <c r="D855" s="137">
        <f t="shared" si="96"/>
        <v>1.7333333333333334</v>
      </c>
      <c r="J855" s="9">
        <v>60</v>
      </c>
      <c r="K855" s="137">
        <f t="shared" si="97"/>
        <v>25</v>
      </c>
    </row>
    <row r="856" spans="3:4" ht="19.5" thickBot="1">
      <c r="C856" s="29">
        <v>150</v>
      </c>
      <c r="D856" s="137">
        <f t="shared" si="96"/>
        <v>130</v>
      </c>
    </row>
    <row r="864" ht="19.5" thickBot="1"/>
    <row r="865" spans="8:17" ht="19.5" thickBot="1">
      <c r="H865" s="8">
        <v>10</v>
      </c>
      <c r="I865" s="137">
        <f>H865*140/150</f>
        <v>9.333333333333334</v>
      </c>
      <c r="P865" s="8">
        <v>15</v>
      </c>
      <c r="Q865" s="137">
        <f>P865*130/150</f>
        <v>13</v>
      </c>
    </row>
    <row r="866" spans="8:17" ht="19.5" thickBot="1">
      <c r="H866" s="9">
        <v>8</v>
      </c>
      <c r="I866" s="137">
        <f aca="true" t="shared" si="98" ref="I866:I874">H866*140/150</f>
        <v>7.466666666666667</v>
      </c>
      <c r="L866" s="3">
        <v>9</v>
      </c>
      <c r="M866" s="137">
        <f>L866*160/140</f>
        <v>10.285714285714286</v>
      </c>
      <c r="P866" s="9">
        <v>113</v>
      </c>
      <c r="Q866" s="137">
        <f aca="true" t="shared" si="99" ref="Q866:Q873">P866*130/150</f>
        <v>97.93333333333334</v>
      </c>
    </row>
    <row r="867" spans="8:17" ht="19.5" thickBot="1">
      <c r="H867" s="9">
        <v>113</v>
      </c>
      <c r="I867" s="137">
        <f t="shared" si="98"/>
        <v>105.46666666666667</v>
      </c>
      <c r="L867" s="4">
        <v>7</v>
      </c>
      <c r="M867" s="137">
        <f aca="true" t="shared" si="100" ref="M867:M875">L867*160/140</f>
        <v>8</v>
      </c>
      <c r="P867" s="9">
        <v>15</v>
      </c>
      <c r="Q867" s="137">
        <f t="shared" si="99"/>
        <v>13</v>
      </c>
    </row>
    <row r="868" spans="8:17" ht="19.5" thickBot="1">
      <c r="H868" s="9">
        <v>15</v>
      </c>
      <c r="I868" s="137">
        <f t="shared" si="98"/>
        <v>14</v>
      </c>
      <c r="L868" s="4">
        <v>105</v>
      </c>
      <c r="M868" s="137">
        <f t="shared" si="100"/>
        <v>120</v>
      </c>
      <c r="P868" s="9">
        <v>102</v>
      </c>
      <c r="Q868" s="137">
        <f t="shared" si="99"/>
        <v>88.4</v>
      </c>
    </row>
    <row r="869" spans="8:17" ht="19.5" thickBot="1">
      <c r="H869" s="9">
        <v>102</v>
      </c>
      <c r="I869" s="137">
        <f t="shared" si="98"/>
        <v>95.2</v>
      </c>
      <c r="L869" s="4">
        <v>14</v>
      </c>
      <c r="M869" s="137">
        <f t="shared" si="100"/>
        <v>16</v>
      </c>
      <c r="P869" s="9">
        <v>27</v>
      </c>
      <c r="Q869" s="137">
        <f t="shared" si="99"/>
        <v>23.4</v>
      </c>
    </row>
    <row r="870" spans="8:17" ht="19.5" thickBot="1">
      <c r="H870" s="9">
        <v>26</v>
      </c>
      <c r="I870" s="137">
        <f t="shared" si="98"/>
        <v>24.266666666666666</v>
      </c>
      <c r="L870" s="4">
        <v>95</v>
      </c>
      <c r="M870" s="137">
        <f t="shared" si="100"/>
        <v>108.57142857142857</v>
      </c>
      <c r="P870" s="9">
        <v>4</v>
      </c>
      <c r="Q870" s="137">
        <f t="shared" si="99"/>
        <v>3.466666666666667</v>
      </c>
    </row>
    <row r="871" spans="8:17" ht="19.5" thickBot="1">
      <c r="H871" s="9">
        <v>4</v>
      </c>
      <c r="I871" s="137">
        <f t="shared" si="98"/>
        <v>3.7333333333333334</v>
      </c>
      <c r="L871" s="4">
        <v>24</v>
      </c>
      <c r="M871" s="137">
        <f t="shared" si="100"/>
        <v>27.428571428571427</v>
      </c>
      <c r="P871" s="9">
        <v>142</v>
      </c>
      <c r="Q871" s="137">
        <f t="shared" si="99"/>
        <v>123.06666666666666</v>
      </c>
    </row>
    <row r="872" spans="8:17" ht="19.5" thickBot="1">
      <c r="H872" s="9">
        <v>148</v>
      </c>
      <c r="I872" s="137">
        <f t="shared" si="98"/>
        <v>138.13333333333333</v>
      </c>
      <c r="L872" s="4">
        <v>4</v>
      </c>
      <c r="M872" s="137">
        <f t="shared" si="100"/>
        <v>4.571428571428571</v>
      </c>
      <c r="P872" s="9">
        <v>2</v>
      </c>
      <c r="Q872" s="137">
        <f t="shared" si="99"/>
        <v>1.7333333333333334</v>
      </c>
    </row>
    <row r="873" spans="8:17" ht="19.5" thickBot="1">
      <c r="H873" s="9">
        <v>2</v>
      </c>
      <c r="I873" s="137">
        <f t="shared" si="98"/>
        <v>1.8666666666666667</v>
      </c>
      <c r="L873" s="4">
        <v>138</v>
      </c>
      <c r="M873" s="137">
        <f t="shared" si="100"/>
        <v>157.71428571428572</v>
      </c>
      <c r="P873" s="9">
        <v>150</v>
      </c>
      <c r="Q873" s="137">
        <f t="shared" si="99"/>
        <v>130</v>
      </c>
    </row>
    <row r="874" spans="8:13" ht="19.5" thickBot="1">
      <c r="H874" s="9">
        <v>150</v>
      </c>
      <c r="I874" s="137">
        <f t="shared" si="98"/>
        <v>140</v>
      </c>
      <c r="L874" s="4">
        <v>2</v>
      </c>
      <c r="M874" s="137">
        <f t="shared" si="100"/>
        <v>2.2857142857142856</v>
      </c>
    </row>
    <row r="875" spans="12:13" ht="19.5" thickBot="1">
      <c r="L875" s="4">
        <v>140</v>
      </c>
      <c r="M875" s="137">
        <f t="shared" si="100"/>
        <v>160</v>
      </c>
    </row>
    <row r="883" ht="19.5" thickBot="1"/>
    <row r="884" spans="4:15" ht="19.5" thickBot="1">
      <c r="D884" s="8">
        <v>6</v>
      </c>
      <c r="E884" s="137">
        <f>D884*140/150</f>
        <v>5.6</v>
      </c>
      <c r="G884" s="3">
        <v>5</v>
      </c>
      <c r="H884" s="137">
        <f>G884*160/140</f>
        <v>5.714285714285714</v>
      </c>
      <c r="K884" s="8">
        <v>55</v>
      </c>
      <c r="L884" s="137">
        <f>K884*25/45</f>
        <v>30.555555555555557</v>
      </c>
      <c r="N884" s="3">
        <v>67</v>
      </c>
      <c r="O884" s="137">
        <f>N884*140/150</f>
        <v>62.53333333333333</v>
      </c>
    </row>
    <row r="885" spans="4:15" ht="19.5" thickBot="1">
      <c r="D885" s="9">
        <v>6</v>
      </c>
      <c r="E885" s="137">
        <f aca="true" t="shared" si="101" ref="E885:E894">D885*140/150</f>
        <v>5.6</v>
      </c>
      <c r="G885" s="4">
        <v>5</v>
      </c>
      <c r="H885" s="137">
        <f aca="true" t="shared" si="102" ref="H885:H894">G885*160/140</f>
        <v>5.714285714285714</v>
      </c>
      <c r="K885" s="9">
        <v>33</v>
      </c>
      <c r="L885" s="137">
        <f>K885*25/45</f>
        <v>18.333333333333332</v>
      </c>
      <c r="N885" s="4">
        <v>67</v>
      </c>
      <c r="O885" s="137">
        <f aca="true" t="shared" si="103" ref="O885:O897">N885*140/150</f>
        <v>62.53333333333333</v>
      </c>
    </row>
    <row r="886" spans="4:15" ht="19.5" thickBot="1">
      <c r="D886" s="9">
        <v>6</v>
      </c>
      <c r="E886" s="137">
        <f t="shared" si="101"/>
        <v>5.6</v>
      </c>
      <c r="G886" s="4">
        <v>5</v>
      </c>
      <c r="H886" s="137">
        <f t="shared" si="102"/>
        <v>5.714285714285714</v>
      </c>
      <c r="K886" s="9">
        <v>10</v>
      </c>
      <c r="L886" s="137">
        <f>K886*25/45</f>
        <v>5.555555555555555</v>
      </c>
      <c r="N886" s="4">
        <v>42</v>
      </c>
      <c r="O886" s="137">
        <f t="shared" si="103"/>
        <v>39.2</v>
      </c>
    </row>
    <row r="887" spans="4:15" ht="19.5" thickBot="1">
      <c r="D887" s="9">
        <v>113</v>
      </c>
      <c r="E887" s="137">
        <f t="shared" si="101"/>
        <v>105.46666666666667</v>
      </c>
      <c r="G887" s="4">
        <v>105</v>
      </c>
      <c r="H887" s="137">
        <f t="shared" si="102"/>
        <v>120</v>
      </c>
      <c r="K887" s="9">
        <v>3</v>
      </c>
      <c r="L887" s="137">
        <f>K887*25/45</f>
        <v>1.6666666666666667</v>
      </c>
      <c r="N887" s="4">
        <v>114</v>
      </c>
      <c r="O887" s="137">
        <f t="shared" si="103"/>
        <v>106.4</v>
      </c>
    </row>
    <row r="888" spans="4:15" ht="19.5" thickBot="1">
      <c r="D888" s="9">
        <v>15</v>
      </c>
      <c r="E888" s="137">
        <f t="shared" si="101"/>
        <v>14</v>
      </c>
      <c r="G888" s="4">
        <v>14</v>
      </c>
      <c r="H888" s="137">
        <f t="shared" si="102"/>
        <v>16</v>
      </c>
      <c r="K888" s="9">
        <v>45</v>
      </c>
      <c r="L888" s="137">
        <f>K888*25/45</f>
        <v>25</v>
      </c>
      <c r="N888" s="4">
        <v>5</v>
      </c>
      <c r="O888" s="137">
        <f t="shared" si="103"/>
        <v>4.666666666666667</v>
      </c>
    </row>
    <row r="889" spans="4:15" ht="19.5" thickBot="1">
      <c r="D889" s="9">
        <v>102</v>
      </c>
      <c r="E889" s="137">
        <f t="shared" si="101"/>
        <v>95.2</v>
      </c>
      <c r="G889" s="4">
        <v>95</v>
      </c>
      <c r="H889" s="137">
        <f t="shared" si="102"/>
        <v>108.57142857142857</v>
      </c>
      <c r="N889" s="4">
        <v>3</v>
      </c>
      <c r="O889" s="137">
        <f t="shared" si="103"/>
        <v>2.8</v>
      </c>
    </row>
    <row r="890" spans="4:15" ht="19.5" thickBot="1">
      <c r="D890" s="9">
        <v>26</v>
      </c>
      <c r="E890" s="137">
        <f t="shared" si="101"/>
        <v>24.266666666666666</v>
      </c>
      <c r="G890" s="4">
        <v>24</v>
      </c>
      <c r="H890" s="137">
        <f t="shared" si="102"/>
        <v>27.428571428571427</v>
      </c>
      <c r="N890" s="4"/>
      <c r="O890" s="137">
        <f t="shared" si="103"/>
        <v>0</v>
      </c>
    </row>
    <row r="891" spans="4:15" ht="19.5" thickBot="1">
      <c r="D891" s="9">
        <v>4</v>
      </c>
      <c r="E891" s="137">
        <f t="shared" si="101"/>
        <v>3.7333333333333334</v>
      </c>
      <c r="G891" s="4">
        <v>4</v>
      </c>
      <c r="H891" s="137">
        <f t="shared" si="102"/>
        <v>4.571428571428571</v>
      </c>
      <c r="N891" s="4">
        <v>5</v>
      </c>
      <c r="O891" s="137">
        <f t="shared" si="103"/>
        <v>4.666666666666667</v>
      </c>
    </row>
    <row r="892" spans="4:15" ht="19.5" thickBot="1">
      <c r="D892" s="9">
        <v>148</v>
      </c>
      <c r="E892" s="137">
        <f t="shared" si="101"/>
        <v>138.13333333333333</v>
      </c>
      <c r="G892" s="4">
        <v>138</v>
      </c>
      <c r="H892" s="137">
        <f t="shared" si="102"/>
        <v>157.71428571428572</v>
      </c>
      <c r="N892" s="4">
        <v>5</v>
      </c>
      <c r="O892" s="137">
        <f t="shared" si="103"/>
        <v>4.666666666666667</v>
      </c>
    </row>
    <row r="893" spans="4:15" ht="19.5" thickBot="1">
      <c r="D893" s="9">
        <v>2</v>
      </c>
      <c r="E893" s="137">
        <f t="shared" si="101"/>
        <v>1.8666666666666667</v>
      </c>
      <c r="G893" s="4">
        <v>2</v>
      </c>
      <c r="H893" s="137">
        <f t="shared" si="102"/>
        <v>2.2857142857142856</v>
      </c>
      <c r="N893" s="4">
        <v>7</v>
      </c>
      <c r="O893" s="137">
        <f t="shared" si="103"/>
        <v>6.533333333333333</v>
      </c>
    </row>
    <row r="894" spans="4:15" ht="19.5" thickBot="1">
      <c r="D894" s="9">
        <v>150</v>
      </c>
      <c r="E894" s="137">
        <f t="shared" si="101"/>
        <v>140</v>
      </c>
      <c r="G894" s="4">
        <v>140</v>
      </c>
      <c r="H894" s="137">
        <f t="shared" si="102"/>
        <v>160</v>
      </c>
      <c r="N894" s="4">
        <v>1.2</v>
      </c>
      <c r="O894" s="137">
        <f t="shared" si="103"/>
        <v>1.12</v>
      </c>
    </row>
    <row r="895" spans="14:15" ht="19.5" thickBot="1">
      <c r="N895" s="4">
        <v>3</v>
      </c>
      <c r="O895" s="137">
        <f t="shared" si="103"/>
        <v>2.8</v>
      </c>
    </row>
    <row r="896" spans="14:15" ht="19.5" thickBot="1">
      <c r="N896" s="4">
        <v>108</v>
      </c>
      <c r="O896" s="137">
        <f t="shared" si="103"/>
        <v>100.8</v>
      </c>
    </row>
    <row r="897" spans="14:15" ht="19.5" thickBot="1">
      <c r="N897" s="4">
        <v>150</v>
      </c>
      <c r="O897" s="137">
        <f t="shared" si="103"/>
        <v>140</v>
      </c>
    </row>
    <row r="909" ht="19.5" thickBot="1"/>
    <row r="910" spans="4:5" ht="19.5" thickBot="1">
      <c r="D910" s="8">
        <v>98</v>
      </c>
      <c r="E910" s="137">
        <f>D910*140/220</f>
        <v>62.36363636363637</v>
      </c>
    </row>
    <row r="911" spans="4:14" ht="19.5" thickBot="1">
      <c r="D911" s="9">
        <v>98</v>
      </c>
      <c r="E911" s="137">
        <f aca="true" t="shared" si="104" ref="E911:E923">D911*140/220</f>
        <v>62.36363636363637</v>
      </c>
      <c r="J911" s="8">
        <v>15</v>
      </c>
      <c r="K911" s="137">
        <f>J911*140/150</f>
        <v>14</v>
      </c>
      <c r="M911" s="3">
        <v>14</v>
      </c>
      <c r="N911" s="137">
        <f>M911*160/140</f>
        <v>16</v>
      </c>
    </row>
    <row r="912" spans="4:14" ht="19.5" thickBot="1">
      <c r="D912" s="9">
        <v>62</v>
      </c>
      <c r="E912" s="137">
        <f t="shared" si="104"/>
        <v>39.45454545454545</v>
      </c>
      <c r="J912" s="9">
        <v>113</v>
      </c>
      <c r="K912" s="137">
        <f aca="true" t="shared" si="105" ref="K912:K923">J912*140/150</f>
        <v>105.46666666666667</v>
      </c>
      <c r="M912" s="4">
        <v>105</v>
      </c>
      <c r="N912" s="137">
        <f aca="true" t="shared" si="106" ref="N912:N924">M912*160/140</f>
        <v>120</v>
      </c>
    </row>
    <row r="913" spans="4:14" ht="19.5" thickBot="1">
      <c r="D913" s="9">
        <v>167</v>
      </c>
      <c r="E913" s="137">
        <f t="shared" si="104"/>
        <v>106.27272727272727</v>
      </c>
      <c r="J913" s="9">
        <v>15</v>
      </c>
      <c r="K913" s="137">
        <f t="shared" si="105"/>
        <v>14</v>
      </c>
      <c r="M913" s="4">
        <v>14</v>
      </c>
      <c r="N913" s="137">
        <f t="shared" si="106"/>
        <v>16</v>
      </c>
    </row>
    <row r="914" spans="4:14" ht="19.5" thickBot="1">
      <c r="D914" s="9">
        <v>7</v>
      </c>
      <c r="E914" s="137">
        <f t="shared" si="104"/>
        <v>4.454545454545454</v>
      </c>
      <c r="J914" s="9">
        <v>102</v>
      </c>
      <c r="K914" s="137">
        <f t="shared" si="105"/>
        <v>95.2</v>
      </c>
      <c r="M914" s="4">
        <v>95</v>
      </c>
      <c r="N914" s="137">
        <f t="shared" si="106"/>
        <v>108.57142857142857</v>
      </c>
    </row>
    <row r="915" spans="4:14" ht="19.5" thickBot="1">
      <c r="D915" s="9">
        <v>5</v>
      </c>
      <c r="E915" s="137">
        <f t="shared" si="104"/>
        <v>3.1818181818181817</v>
      </c>
      <c r="J915" s="9">
        <v>27</v>
      </c>
      <c r="K915" s="137">
        <f t="shared" si="105"/>
        <v>25.2</v>
      </c>
      <c r="M915" s="4">
        <v>25</v>
      </c>
      <c r="N915" s="137">
        <f t="shared" si="106"/>
        <v>28.571428571428573</v>
      </c>
    </row>
    <row r="916" spans="4:14" ht="19.5" thickBot="1">
      <c r="D916" s="9"/>
      <c r="E916" s="137">
        <f t="shared" si="104"/>
        <v>0</v>
      </c>
      <c r="J916" s="9">
        <v>4</v>
      </c>
      <c r="K916" s="137">
        <f t="shared" si="105"/>
        <v>3.7333333333333334</v>
      </c>
      <c r="M916" s="4">
        <v>4</v>
      </c>
      <c r="N916" s="137">
        <f t="shared" si="106"/>
        <v>4.571428571428571</v>
      </c>
    </row>
    <row r="917" spans="4:14" ht="19.5" thickBot="1">
      <c r="D917" s="9">
        <v>7</v>
      </c>
      <c r="E917" s="137">
        <f t="shared" si="104"/>
        <v>4.454545454545454</v>
      </c>
      <c r="J917" s="9">
        <v>38</v>
      </c>
      <c r="K917" s="137">
        <f t="shared" si="105"/>
        <v>35.46666666666667</v>
      </c>
      <c r="M917" s="4">
        <v>35</v>
      </c>
      <c r="N917" s="137">
        <f t="shared" si="106"/>
        <v>40</v>
      </c>
    </row>
    <row r="918" spans="4:14" ht="19.5" thickBot="1">
      <c r="D918" s="9">
        <v>7</v>
      </c>
      <c r="E918" s="137">
        <f t="shared" si="104"/>
        <v>4.454545454545454</v>
      </c>
      <c r="J918" s="9">
        <v>60</v>
      </c>
      <c r="K918" s="137">
        <f t="shared" si="105"/>
        <v>56</v>
      </c>
      <c r="M918" s="4">
        <v>56</v>
      </c>
      <c r="N918" s="137">
        <f t="shared" si="106"/>
        <v>64</v>
      </c>
    </row>
    <row r="919" spans="4:14" ht="19.5" thickBot="1">
      <c r="D919" s="9">
        <v>10</v>
      </c>
      <c r="E919" s="137">
        <f t="shared" si="104"/>
        <v>6.363636363636363</v>
      </c>
      <c r="J919" s="9">
        <v>2</v>
      </c>
      <c r="K919" s="137">
        <f t="shared" si="105"/>
        <v>1.8666666666666667</v>
      </c>
      <c r="M919" s="4">
        <v>2</v>
      </c>
      <c r="N919" s="137">
        <f t="shared" si="106"/>
        <v>2.2857142857142856</v>
      </c>
    </row>
    <row r="920" spans="4:14" ht="19.5" thickBot="1">
      <c r="D920" s="9">
        <v>1.8</v>
      </c>
      <c r="E920" s="137">
        <f t="shared" si="104"/>
        <v>1.1454545454545455</v>
      </c>
      <c r="J920" s="9">
        <v>15</v>
      </c>
      <c r="K920" s="137">
        <f t="shared" si="105"/>
        <v>14</v>
      </c>
      <c r="M920" s="4">
        <v>14</v>
      </c>
      <c r="N920" s="137">
        <f t="shared" si="106"/>
        <v>16</v>
      </c>
    </row>
    <row r="921" spans="4:14" ht="19.5" thickBot="1">
      <c r="D921" s="9">
        <v>4</v>
      </c>
      <c r="E921" s="137">
        <f t="shared" si="104"/>
        <v>2.5454545454545454</v>
      </c>
      <c r="J921" s="9">
        <v>148</v>
      </c>
      <c r="K921" s="137">
        <f t="shared" si="105"/>
        <v>138.13333333333333</v>
      </c>
      <c r="M921" s="4">
        <v>138</v>
      </c>
      <c r="N921" s="137">
        <f t="shared" si="106"/>
        <v>157.71428571428572</v>
      </c>
    </row>
    <row r="922" spans="4:14" ht="19.5" thickBot="1">
      <c r="D922" s="9">
        <v>158</v>
      </c>
      <c r="E922" s="137">
        <f t="shared" si="104"/>
        <v>100.54545454545455</v>
      </c>
      <c r="J922" s="9">
        <v>2</v>
      </c>
      <c r="K922" s="137">
        <f t="shared" si="105"/>
        <v>1.8666666666666667</v>
      </c>
      <c r="M922" s="4">
        <v>2</v>
      </c>
      <c r="N922" s="137">
        <f t="shared" si="106"/>
        <v>2.2857142857142856</v>
      </c>
    </row>
    <row r="923" spans="4:14" ht="19.5" thickBot="1">
      <c r="D923" s="9">
        <v>220</v>
      </c>
      <c r="E923" s="137">
        <f t="shared" si="104"/>
        <v>140</v>
      </c>
      <c r="J923" s="9">
        <v>150</v>
      </c>
      <c r="K923" s="137">
        <f t="shared" si="105"/>
        <v>140</v>
      </c>
      <c r="M923" s="4">
        <v>140</v>
      </c>
      <c r="N923" s="137">
        <f t="shared" si="106"/>
        <v>160</v>
      </c>
    </row>
    <row r="924" ht="18.75">
      <c r="N924" s="137">
        <f t="shared" si="106"/>
        <v>0</v>
      </c>
    </row>
    <row r="932" ht="19.5" thickBot="1"/>
    <row r="933" spans="10:14" ht="19.5" thickBot="1">
      <c r="J933" s="8">
        <v>41</v>
      </c>
      <c r="K933" s="137">
        <f>J933*25/60</f>
        <v>17.083333333333332</v>
      </c>
      <c r="M933" s="8">
        <v>180</v>
      </c>
      <c r="N933" s="137">
        <f>M933*160/200</f>
        <v>144</v>
      </c>
    </row>
    <row r="934" spans="5:14" ht="19.5" thickBot="1">
      <c r="E934" s="8">
        <v>49</v>
      </c>
      <c r="F934" s="137">
        <f aca="true" t="shared" si="107" ref="F934:F939">E934*25/60</f>
        <v>20.416666666666668</v>
      </c>
      <c r="J934" s="9">
        <v>44</v>
      </c>
      <c r="K934" s="137">
        <f aca="true" t="shared" si="108" ref="K934:K944">J934*25/60</f>
        <v>18.333333333333332</v>
      </c>
      <c r="M934" s="9">
        <v>180</v>
      </c>
      <c r="N934" s="137">
        <f aca="true" t="shared" si="109" ref="N934:N947">M934*160/200</f>
        <v>144</v>
      </c>
    </row>
    <row r="935" spans="5:14" ht="19.5" thickBot="1">
      <c r="E935" s="9">
        <v>52</v>
      </c>
      <c r="F935" s="137">
        <f t="shared" si="107"/>
        <v>21.666666666666668</v>
      </c>
      <c r="J935" s="9">
        <v>48</v>
      </c>
      <c r="K935" s="137">
        <f t="shared" si="108"/>
        <v>20</v>
      </c>
      <c r="M935" s="9">
        <v>180</v>
      </c>
      <c r="N935" s="137">
        <f t="shared" si="109"/>
        <v>144</v>
      </c>
    </row>
    <row r="936" spans="5:14" ht="19.5" thickBot="1">
      <c r="E936" s="9">
        <v>39</v>
      </c>
      <c r="F936" s="137">
        <f t="shared" si="107"/>
        <v>16.25</v>
      </c>
      <c r="J936" s="9">
        <v>52</v>
      </c>
      <c r="K936" s="137">
        <f t="shared" si="108"/>
        <v>21.666666666666668</v>
      </c>
      <c r="M936" s="9">
        <v>180</v>
      </c>
      <c r="N936" s="137">
        <f t="shared" si="109"/>
        <v>144</v>
      </c>
    </row>
    <row r="937" spans="5:14" ht="19.5" thickBot="1">
      <c r="E937" s="9">
        <v>19</v>
      </c>
      <c r="F937" s="137">
        <f t="shared" si="107"/>
        <v>7.916666666666667</v>
      </c>
      <c r="J937" s="9">
        <v>30</v>
      </c>
      <c r="K937" s="137">
        <f t="shared" si="108"/>
        <v>12.5</v>
      </c>
      <c r="M937" s="9">
        <v>175</v>
      </c>
      <c r="N937" s="137">
        <f t="shared" si="109"/>
        <v>140</v>
      </c>
    </row>
    <row r="938" spans="5:14" ht="19.5" thickBot="1">
      <c r="E938" s="9">
        <v>4</v>
      </c>
      <c r="F938" s="137">
        <f t="shared" si="107"/>
        <v>1.6666666666666667</v>
      </c>
      <c r="J938" s="9">
        <v>12</v>
      </c>
      <c r="K938" s="137">
        <f t="shared" si="108"/>
        <v>5</v>
      </c>
      <c r="M938" s="9"/>
      <c r="N938" s="137">
        <f t="shared" si="109"/>
        <v>0</v>
      </c>
    </row>
    <row r="939" spans="5:14" ht="19.5" thickBot="1">
      <c r="E939" s="9">
        <v>60</v>
      </c>
      <c r="F939" s="137">
        <f t="shared" si="107"/>
        <v>25</v>
      </c>
      <c r="J939" s="9"/>
      <c r="K939" s="137">
        <f t="shared" si="108"/>
        <v>0</v>
      </c>
      <c r="M939" s="9">
        <v>31</v>
      </c>
      <c r="N939" s="137">
        <f t="shared" si="109"/>
        <v>24.8</v>
      </c>
    </row>
    <row r="940" spans="10:14" ht="19.5" thickBot="1">
      <c r="J940" s="9">
        <v>17</v>
      </c>
      <c r="K940" s="137">
        <f t="shared" si="108"/>
        <v>7.083333333333333</v>
      </c>
      <c r="M940" s="9">
        <v>11</v>
      </c>
      <c r="N940" s="137">
        <f t="shared" si="109"/>
        <v>8.8</v>
      </c>
    </row>
    <row r="941" spans="10:14" ht="19.5" thickBot="1">
      <c r="J941" s="9">
        <v>18</v>
      </c>
      <c r="K941" s="137">
        <f t="shared" si="108"/>
        <v>7.5</v>
      </c>
      <c r="M941" s="9">
        <v>8</v>
      </c>
      <c r="N941" s="137">
        <f t="shared" si="109"/>
        <v>6.4</v>
      </c>
    </row>
    <row r="942" spans="10:14" ht="19.5" thickBot="1">
      <c r="J942" s="9">
        <v>13</v>
      </c>
      <c r="K942" s="137">
        <f t="shared" si="108"/>
        <v>5.416666666666667</v>
      </c>
      <c r="M942" s="9">
        <v>40</v>
      </c>
      <c r="N942" s="137">
        <f t="shared" si="109"/>
        <v>32</v>
      </c>
    </row>
    <row r="943" spans="10:14" ht="19.5" thickBot="1">
      <c r="J943" s="9">
        <v>6</v>
      </c>
      <c r="K943" s="137">
        <f t="shared" si="108"/>
        <v>2.5</v>
      </c>
      <c r="M943" s="9">
        <v>5</v>
      </c>
      <c r="N943" s="137">
        <f t="shared" si="109"/>
        <v>4</v>
      </c>
    </row>
    <row r="944" spans="10:14" ht="19.5" thickBot="1">
      <c r="J944" s="9">
        <v>60</v>
      </c>
      <c r="K944" s="137">
        <f t="shared" si="108"/>
        <v>25</v>
      </c>
      <c r="M944" s="9">
        <v>5</v>
      </c>
      <c r="N944" s="137">
        <f t="shared" si="109"/>
        <v>4</v>
      </c>
    </row>
    <row r="945" spans="13:14" ht="19.5" thickBot="1">
      <c r="M945" s="9">
        <v>227</v>
      </c>
      <c r="N945" s="137">
        <f t="shared" si="109"/>
        <v>181.6</v>
      </c>
    </row>
    <row r="946" spans="13:14" ht="19.5" thickBot="1">
      <c r="M946" s="9">
        <v>200</v>
      </c>
      <c r="N946" s="137">
        <f t="shared" si="109"/>
        <v>160</v>
      </c>
    </row>
    <row r="947" spans="13:14" ht="19.5" thickBot="1">
      <c r="M947" s="9">
        <v>200</v>
      </c>
      <c r="N947" s="137">
        <f t="shared" si="109"/>
        <v>160</v>
      </c>
    </row>
    <row r="949" ht="19.5" thickBot="1"/>
    <row r="950" spans="15:16" ht="19.5" thickBot="1">
      <c r="O950" s="8">
        <v>19</v>
      </c>
      <c r="P950" s="137">
        <f>O950*130/150</f>
        <v>16.466666666666665</v>
      </c>
    </row>
    <row r="951" spans="4:16" ht="19.5" thickBot="1">
      <c r="D951" s="8">
        <v>15</v>
      </c>
      <c r="E951" s="137">
        <f>D951*140/150</f>
        <v>14</v>
      </c>
      <c r="H951" s="3">
        <v>14</v>
      </c>
      <c r="I951" s="137">
        <f>H951*160/140</f>
        <v>16</v>
      </c>
      <c r="L951" s="1">
        <v>50</v>
      </c>
      <c r="M951" s="137">
        <f>L951*180/200</f>
        <v>45</v>
      </c>
      <c r="O951" s="9">
        <v>113</v>
      </c>
      <c r="P951" s="137">
        <f aca="true" t="shared" si="110" ref="P951:P958">O951*130/150</f>
        <v>97.93333333333334</v>
      </c>
    </row>
    <row r="952" spans="4:16" ht="19.5" thickBot="1">
      <c r="D952" s="9">
        <v>113</v>
      </c>
      <c r="E952" s="137">
        <f aca="true" t="shared" si="111" ref="E952:E962">D952*140/150</f>
        <v>105.46666666666667</v>
      </c>
      <c r="H952" s="4">
        <v>105</v>
      </c>
      <c r="I952" s="137">
        <f aca="true" t="shared" si="112" ref="I952:I962">H952*160/140</f>
        <v>120</v>
      </c>
      <c r="L952" s="10">
        <v>30</v>
      </c>
      <c r="M952" s="137">
        <f>L952*180/200</f>
        <v>27</v>
      </c>
      <c r="O952" s="9">
        <v>15</v>
      </c>
      <c r="P952" s="137">
        <f t="shared" si="110"/>
        <v>13</v>
      </c>
    </row>
    <row r="953" spans="4:16" ht="19.5" thickBot="1">
      <c r="D953" s="9">
        <v>15</v>
      </c>
      <c r="E953" s="137">
        <f t="shared" si="111"/>
        <v>14</v>
      </c>
      <c r="H953" s="4">
        <v>14</v>
      </c>
      <c r="I953" s="137">
        <f t="shared" si="112"/>
        <v>16</v>
      </c>
      <c r="L953" s="10">
        <v>125</v>
      </c>
      <c r="M953" s="137">
        <f>L953*180/200</f>
        <v>112.5</v>
      </c>
      <c r="O953" s="9">
        <v>102</v>
      </c>
      <c r="P953" s="137">
        <f t="shared" si="110"/>
        <v>88.4</v>
      </c>
    </row>
    <row r="954" spans="4:16" ht="19.5" thickBot="1">
      <c r="D954" s="9">
        <v>102</v>
      </c>
      <c r="E954" s="137">
        <f t="shared" si="111"/>
        <v>95.2</v>
      </c>
      <c r="H954" s="4">
        <v>95</v>
      </c>
      <c r="I954" s="137">
        <f t="shared" si="112"/>
        <v>108.57142857142857</v>
      </c>
      <c r="L954" s="9">
        <v>200</v>
      </c>
      <c r="M954" s="137">
        <f>L954*180/200</f>
        <v>180</v>
      </c>
      <c r="O954" s="9">
        <v>26</v>
      </c>
      <c r="P954" s="137">
        <f t="shared" si="110"/>
        <v>22.533333333333335</v>
      </c>
    </row>
    <row r="955" spans="4:16" ht="19.5" thickBot="1">
      <c r="D955" s="9">
        <v>27</v>
      </c>
      <c r="E955" s="137">
        <f t="shared" si="111"/>
        <v>25.2</v>
      </c>
      <c r="H955" s="4">
        <v>25</v>
      </c>
      <c r="I955" s="137">
        <f t="shared" si="112"/>
        <v>28.571428571428573</v>
      </c>
      <c r="O955" s="9">
        <v>4</v>
      </c>
      <c r="P955" s="137">
        <f t="shared" si="110"/>
        <v>3.466666666666667</v>
      </c>
    </row>
    <row r="956" spans="4:16" ht="19.5" thickBot="1">
      <c r="D956" s="9">
        <v>10</v>
      </c>
      <c r="E956" s="137">
        <f t="shared" si="111"/>
        <v>9.333333333333334</v>
      </c>
      <c r="H956" s="4">
        <v>9</v>
      </c>
      <c r="I956" s="137">
        <f t="shared" si="112"/>
        <v>10.285714285714286</v>
      </c>
      <c r="O956" s="9">
        <v>148</v>
      </c>
      <c r="P956" s="137">
        <f t="shared" si="110"/>
        <v>128.26666666666668</v>
      </c>
    </row>
    <row r="957" spans="4:16" ht="19.5" thickBot="1">
      <c r="D957" s="9">
        <v>69</v>
      </c>
      <c r="E957" s="137">
        <f t="shared" si="111"/>
        <v>64.4</v>
      </c>
      <c r="H957" s="4">
        <v>61</v>
      </c>
      <c r="I957" s="137">
        <f t="shared" si="112"/>
        <v>69.71428571428571</v>
      </c>
      <c r="O957" s="9">
        <v>2</v>
      </c>
      <c r="P957" s="137">
        <f t="shared" si="110"/>
        <v>1.7333333333333334</v>
      </c>
    </row>
    <row r="958" spans="4:16" ht="19.5" thickBot="1">
      <c r="D958" s="9">
        <v>50</v>
      </c>
      <c r="E958" s="137">
        <f t="shared" si="111"/>
        <v>46.666666666666664</v>
      </c>
      <c r="H958" s="4">
        <v>47</v>
      </c>
      <c r="I958" s="137">
        <f t="shared" si="112"/>
        <v>53.714285714285715</v>
      </c>
      <c r="O958" s="9">
        <v>150</v>
      </c>
      <c r="P958" s="137">
        <f t="shared" si="110"/>
        <v>130</v>
      </c>
    </row>
    <row r="959" spans="4:9" ht="19.5" thickBot="1">
      <c r="D959" s="9">
        <v>4</v>
      </c>
      <c r="E959" s="137">
        <f t="shared" si="111"/>
        <v>3.7333333333333334</v>
      </c>
      <c r="H959" s="4">
        <v>4</v>
      </c>
      <c r="I959" s="137">
        <f t="shared" si="112"/>
        <v>4.571428571428571</v>
      </c>
    </row>
    <row r="960" spans="4:9" ht="19.5" thickBot="1">
      <c r="D960" s="9">
        <v>148</v>
      </c>
      <c r="E960" s="137">
        <f t="shared" si="111"/>
        <v>138.13333333333333</v>
      </c>
      <c r="H960" s="4">
        <v>138</v>
      </c>
      <c r="I960" s="137">
        <f t="shared" si="112"/>
        <v>157.71428571428572</v>
      </c>
    </row>
    <row r="961" spans="4:16" ht="19.5" thickBot="1">
      <c r="D961" s="9">
        <v>2</v>
      </c>
      <c r="E961" s="137">
        <f t="shared" si="111"/>
        <v>1.8666666666666667</v>
      </c>
      <c r="H961" s="4">
        <v>2</v>
      </c>
      <c r="I961" s="137">
        <f t="shared" si="112"/>
        <v>2.2857142857142856</v>
      </c>
      <c r="L961" s="8">
        <v>69</v>
      </c>
      <c r="M961" s="137">
        <f aca="true" t="shared" si="113" ref="M961:M966">L961*25/60</f>
        <v>28.75</v>
      </c>
      <c r="O961" s="3">
        <v>95</v>
      </c>
      <c r="P961" s="137">
        <f>O961*80/90</f>
        <v>84.44444444444444</v>
      </c>
    </row>
    <row r="962" spans="4:16" ht="19.5" thickBot="1">
      <c r="D962" s="9">
        <v>150</v>
      </c>
      <c r="E962" s="137">
        <f t="shared" si="111"/>
        <v>140</v>
      </c>
      <c r="H962" s="4">
        <v>140</v>
      </c>
      <c r="I962" s="137">
        <f t="shared" si="112"/>
        <v>160</v>
      </c>
      <c r="L962" s="9">
        <v>73</v>
      </c>
      <c r="M962" s="137">
        <f t="shared" si="113"/>
        <v>30.416666666666668</v>
      </c>
      <c r="O962" s="4">
        <v>4</v>
      </c>
      <c r="P962" s="137">
        <f aca="true" t="shared" si="114" ref="P962:P970">O962*80/90</f>
        <v>3.5555555555555554</v>
      </c>
    </row>
    <row r="963" spans="12:16" ht="19.5" thickBot="1">
      <c r="L963" s="9">
        <v>55</v>
      </c>
      <c r="M963" s="137">
        <f t="shared" si="113"/>
        <v>22.916666666666668</v>
      </c>
      <c r="O963" s="4">
        <v>4</v>
      </c>
      <c r="P963" s="137">
        <f t="shared" si="114"/>
        <v>3.5555555555555554</v>
      </c>
    </row>
    <row r="964" spans="12:16" ht="19.5" thickBot="1">
      <c r="L964" s="9">
        <v>4</v>
      </c>
      <c r="M964" s="137">
        <f t="shared" si="113"/>
        <v>1.6666666666666667</v>
      </c>
      <c r="O964" s="4"/>
      <c r="P964" s="137">
        <f t="shared" si="114"/>
        <v>0</v>
      </c>
    </row>
    <row r="965" spans="12:16" ht="19.5" thickBot="1">
      <c r="L965" s="9">
        <v>3</v>
      </c>
      <c r="M965" s="137">
        <f t="shared" si="113"/>
        <v>1.25</v>
      </c>
      <c r="O965" s="4">
        <v>7</v>
      </c>
      <c r="P965" s="137">
        <f t="shared" si="114"/>
        <v>6.222222222222222</v>
      </c>
    </row>
    <row r="966" spans="12:16" ht="19.5" thickBot="1">
      <c r="L966" s="9">
        <v>60</v>
      </c>
      <c r="M966" s="137">
        <f t="shared" si="113"/>
        <v>25</v>
      </c>
      <c r="O966" s="4">
        <v>7</v>
      </c>
      <c r="P966" s="137">
        <f t="shared" si="114"/>
        <v>6.222222222222222</v>
      </c>
    </row>
    <row r="967" spans="15:16" ht="19.5" thickBot="1">
      <c r="O967" s="4">
        <v>5</v>
      </c>
      <c r="P967" s="137">
        <f t="shared" si="114"/>
        <v>4.444444444444445</v>
      </c>
    </row>
    <row r="968" spans="15:16" ht="19.5" thickBot="1">
      <c r="O968" s="4">
        <v>0.9</v>
      </c>
      <c r="P968" s="137">
        <f t="shared" si="114"/>
        <v>0.8</v>
      </c>
    </row>
    <row r="969" spans="15:16" ht="19.5" thickBot="1">
      <c r="O969" s="4">
        <v>3</v>
      </c>
      <c r="P969" s="137">
        <f t="shared" si="114"/>
        <v>2.6666666666666665</v>
      </c>
    </row>
    <row r="970" spans="15:16" ht="19.5" thickBot="1">
      <c r="O970" s="4">
        <v>90</v>
      </c>
      <c r="P970" s="137">
        <f t="shared" si="114"/>
        <v>80</v>
      </c>
    </row>
    <row r="971" spans="5:10" ht="19.5" thickBot="1">
      <c r="E971" s="8">
        <v>53</v>
      </c>
      <c r="F971" s="137">
        <f>E971*25/60</f>
        <v>22.083333333333332</v>
      </c>
      <c r="I971" s="3">
        <v>62</v>
      </c>
      <c r="J971" s="137">
        <f>I971*90/130</f>
        <v>42.92307692307692</v>
      </c>
    </row>
    <row r="972" spans="5:13" ht="19.5" thickBot="1">
      <c r="E972" s="9">
        <v>55</v>
      </c>
      <c r="F972" s="137">
        <f aca="true" t="shared" si="115" ref="F972:F977">E972*25/60</f>
        <v>22.916666666666668</v>
      </c>
      <c r="I972" s="4">
        <v>62</v>
      </c>
      <c r="J972" s="137">
        <f aca="true" t="shared" si="116" ref="J972:J981">I972*90/130</f>
        <v>42.92307692307692</v>
      </c>
      <c r="L972" s="8">
        <v>58</v>
      </c>
      <c r="M972" s="137">
        <f>L972/2</f>
        <v>29</v>
      </c>
    </row>
    <row r="973" spans="5:13" ht="19.5" thickBot="1">
      <c r="E973" s="9">
        <v>42</v>
      </c>
      <c r="F973" s="137">
        <f t="shared" si="115"/>
        <v>17.5</v>
      </c>
      <c r="I973" s="4">
        <v>62</v>
      </c>
      <c r="J973" s="137">
        <f t="shared" si="116"/>
        <v>42.92307692307692</v>
      </c>
      <c r="L973" s="9">
        <v>61</v>
      </c>
      <c r="M973" s="137">
        <f aca="true" t="shared" si="117" ref="M973:M979">L973/2</f>
        <v>30.5</v>
      </c>
    </row>
    <row r="974" spans="5:13" ht="19.5" thickBot="1">
      <c r="E974" s="9">
        <v>11</v>
      </c>
      <c r="F974" s="137">
        <f t="shared" si="115"/>
        <v>4.583333333333333</v>
      </c>
      <c r="I974" s="4">
        <v>62</v>
      </c>
      <c r="J974" s="137">
        <f t="shared" si="116"/>
        <v>42.92307692307692</v>
      </c>
      <c r="L974" s="9">
        <v>45</v>
      </c>
      <c r="M974" s="137">
        <f t="shared" si="117"/>
        <v>22.5</v>
      </c>
    </row>
    <row r="975" spans="5:13" ht="19.5" thickBot="1">
      <c r="E975" s="9">
        <v>4</v>
      </c>
      <c r="F975" s="137">
        <f t="shared" si="115"/>
        <v>1.6666666666666667</v>
      </c>
      <c r="I975" s="4"/>
      <c r="J975" s="137">
        <f t="shared" si="116"/>
        <v>0</v>
      </c>
      <c r="L975" s="9">
        <v>10</v>
      </c>
      <c r="M975" s="137">
        <f t="shared" si="117"/>
        <v>5</v>
      </c>
    </row>
    <row r="976" spans="5:13" ht="19.5" thickBot="1">
      <c r="E976" s="9">
        <v>4</v>
      </c>
      <c r="F976" s="137">
        <f t="shared" si="115"/>
        <v>1.6666666666666667</v>
      </c>
      <c r="I976" s="4">
        <v>21</v>
      </c>
      <c r="J976" s="137">
        <f t="shared" si="116"/>
        <v>14.538461538461538</v>
      </c>
      <c r="L976" s="9">
        <v>5</v>
      </c>
      <c r="M976" s="137">
        <f t="shared" si="117"/>
        <v>2.5</v>
      </c>
    </row>
    <row r="977" spans="5:13" ht="19.5" thickBot="1">
      <c r="E977" s="9">
        <v>60</v>
      </c>
      <c r="F977" s="137">
        <f t="shared" si="115"/>
        <v>25</v>
      </c>
      <c r="I977" s="4">
        <v>21</v>
      </c>
      <c r="J977" s="137">
        <f t="shared" si="116"/>
        <v>14.538461538461538</v>
      </c>
      <c r="L977" s="9">
        <v>5</v>
      </c>
      <c r="M977" s="137">
        <f t="shared" si="117"/>
        <v>2.5</v>
      </c>
    </row>
    <row r="978" spans="9:13" ht="19.5" thickBot="1">
      <c r="I978" s="4">
        <v>10</v>
      </c>
      <c r="J978" s="137">
        <f t="shared" si="116"/>
        <v>6.923076923076923</v>
      </c>
      <c r="L978" s="9">
        <v>0.7</v>
      </c>
      <c r="M978" s="137">
        <f t="shared" si="117"/>
        <v>0.35</v>
      </c>
    </row>
    <row r="979" spans="9:13" ht="19.5" thickBot="1">
      <c r="I979" s="4">
        <v>26</v>
      </c>
      <c r="J979" s="137">
        <f t="shared" si="116"/>
        <v>18</v>
      </c>
      <c r="L979" s="9">
        <v>60</v>
      </c>
      <c r="M979" s="137">
        <f t="shared" si="117"/>
        <v>30</v>
      </c>
    </row>
    <row r="980" spans="9:10" ht="19.5" thickBot="1">
      <c r="I980" s="4">
        <v>69</v>
      </c>
      <c r="J980" s="137">
        <f t="shared" si="116"/>
        <v>47.76923076923077</v>
      </c>
    </row>
    <row r="981" spans="9:10" ht="19.5" thickBot="1">
      <c r="I981" s="4">
        <v>5</v>
      </c>
      <c r="J981" s="137">
        <f t="shared" si="116"/>
        <v>3.4615384615384617</v>
      </c>
    </row>
    <row r="982" spans="9:10" ht="19.5" thickBot="1">
      <c r="I982" s="4">
        <v>130</v>
      </c>
      <c r="J982" s="137">
        <f>I982*90/130</f>
        <v>90</v>
      </c>
    </row>
    <row r="990" ht="19.5" thickBot="1"/>
    <row r="991" spans="6:14" ht="19.5" thickBot="1">
      <c r="F991" s="1">
        <v>0.93</v>
      </c>
      <c r="G991" s="2">
        <v>4.88</v>
      </c>
      <c r="H991" s="2">
        <v>5.53</v>
      </c>
      <c r="I991" s="2">
        <v>70</v>
      </c>
      <c r="J991" s="2">
        <v>26.52</v>
      </c>
      <c r="K991" s="2">
        <v>0.49</v>
      </c>
      <c r="L991" s="2">
        <v>0.03</v>
      </c>
      <c r="M991" s="2">
        <v>0.01</v>
      </c>
      <c r="N991" s="2">
        <v>2.2</v>
      </c>
    </row>
    <row r="992" spans="6:14" ht="18.75">
      <c r="F992" s="137">
        <f>F991/2</f>
        <v>0.465</v>
      </c>
      <c r="G992" s="137">
        <f aca="true" t="shared" si="118" ref="G992:N992">G991/2</f>
        <v>2.44</v>
      </c>
      <c r="H992" s="137">
        <f t="shared" si="118"/>
        <v>2.765</v>
      </c>
      <c r="I992" s="137">
        <f t="shared" si="118"/>
        <v>35</v>
      </c>
      <c r="J992" s="137">
        <f t="shared" si="118"/>
        <v>13.26</v>
      </c>
      <c r="K992" s="137">
        <f t="shared" si="118"/>
        <v>0.245</v>
      </c>
      <c r="L992" s="137">
        <f t="shared" si="118"/>
        <v>0.015</v>
      </c>
      <c r="M992" s="137">
        <f t="shared" si="118"/>
        <v>0.005</v>
      </c>
      <c r="N992" s="137">
        <f t="shared" si="118"/>
        <v>1.1</v>
      </c>
    </row>
    <row r="1006" ht="19.5" thickBot="1"/>
    <row r="1007" spans="5:6" ht="19.5" thickBot="1">
      <c r="E1007" s="8">
        <v>58</v>
      </c>
      <c r="F1007" s="137">
        <f>E1007*35/60</f>
        <v>33.833333333333336</v>
      </c>
    </row>
    <row r="1008" spans="5:6" ht="19.5" thickBot="1">
      <c r="E1008" s="9">
        <v>61</v>
      </c>
      <c r="F1008" s="137">
        <f aca="true" t="shared" si="119" ref="F1008:F1014">E1008*35/60</f>
        <v>35.583333333333336</v>
      </c>
    </row>
    <row r="1009" spans="5:6" ht="19.5" thickBot="1">
      <c r="E1009" s="9">
        <v>45</v>
      </c>
      <c r="F1009" s="137">
        <f t="shared" si="119"/>
        <v>26.25</v>
      </c>
    </row>
    <row r="1010" spans="5:6" ht="19.5" thickBot="1">
      <c r="E1010" s="9">
        <v>10</v>
      </c>
      <c r="F1010" s="137">
        <f t="shared" si="119"/>
        <v>5.833333333333333</v>
      </c>
    </row>
    <row r="1011" spans="5:18" ht="19.5" thickBot="1">
      <c r="E1011" s="9">
        <v>5</v>
      </c>
      <c r="F1011" s="137">
        <f t="shared" si="119"/>
        <v>2.9166666666666665</v>
      </c>
      <c r="J1011" s="1">
        <v>0.93</v>
      </c>
      <c r="K1011" s="2">
        <v>4.88</v>
      </c>
      <c r="L1011" s="2">
        <v>5.53</v>
      </c>
      <c r="M1011" s="2">
        <v>70</v>
      </c>
      <c r="N1011" s="2">
        <v>26.52</v>
      </c>
      <c r="O1011" s="2">
        <v>0.49</v>
      </c>
      <c r="P1011" s="2">
        <v>0.03</v>
      </c>
      <c r="Q1011" s="2">
        <v>0.01</v>
      </c>
      <c r="R1011" s="2">
        <v>2.2</v>
      </c>
    </row>
    <row r="1012" spans="5:18" ht="19.5" thickBot="1">
      <c r="E1012" s="9">
        <v>5</v>
      </c>
      <c r="F1012" s="137">
        <f t="shared" si="119"/>
        <v>2.9166666666666665</v>
      </c>
      <c r="J1012" s="137">
        <f>J1011*35/60</f>
        <v>0.5425000000000001</v>
      </c>
      <c r="K1012" s="137">
        <f aca="true" t="shared" si="120" ref="K1012:R1012">K1011*35/60</f>
        <v>2.8466666666666662</v>
      </c>
      <c r="L1012" s="137">
        <f t="shared" si="120"/>
        <v>3.2258333333333336</v>
      </c>
      <c r="M1012" s="137">
        <f t="shared" si="120"/>
        <v>40.833333333333336</v>
      </c>
      <c r="N1012" s="137">
        <f t="shared" si="120"/>
        <v>15.469999999999999</v>
      </c>
      <c r="O1012" s="137">
        <f t="shared" si="120"/>
        <v>0.28583333333333333</v>
      </c>
      <c r="P1012" s="137">
        <f t="shared" si="120"/>
        <v>0.0175</v>
      </c>
      <c r="Q1012" s="137">
        <f t="shared" si="120"/>
        <v>0.005833333333333334</v>
      </c>
      <c r="R1012" s="137">
        <f t="shared" si="120"/>
        <v>1.2833333333333334</v>
      </c>
    </row>
    <row r="1013" spans="5:6" ht="19.5" thickBot="1">
      <c r="E1013" s="9">
        <v>0.7</v>
      </c>
      <c r="F1013" s="137">
        <f t="shared" si="119"/>
        <v>0.4083333333333333</v>
      </c>
    </row>
    <row r="1014" spans="5:6" ht="19.5" thickBot="1">
      <c r="E1014" s="9">
        <v>60</v>
      </c>
      <c r="F1014" s="137">
        <f t="shared" si="119"/>
        <v>35</v>
      </c>
    </row>
    <row r="1019" ht="19.5" thickBot="1"/>
    <row r="1020" spans="8:17" ht="19.5" thickBot="1">
      <c r="H1020" s="8">
        <v>15</v>
      </c>
      <c r="I1020" s="137">
        <f>H1020*130/150</f>
        <v>13</v>
      </c>
      <c r="L1020" s="3">
        <v>85</v>
      </c>
      <c r="M1020" s="137">
        <f>L1020*120/100</f>
        <v>102</v>
      </c>
      <c r="P1020" s="3">
        <v>55</v>
      </c>
      <c r="Q1020" s="137">
        <f>P1020*150/120</f>
        <v>68.75</v>
      </c>
    </row>
    <row r="1021" spans="8:17" ht="19.5" thickBot="1">
      <c r="H1021" s="9">
        <v>113</v>
      </c>
      <c r="I1021" s="137">
        <f aca="true" t="shared" si="121" ref="I1021:I1029">H1021*130/150</f>
        <v>97.93333333333334</v>
      </c>
      <c r="L1021" s="4">
        <v>85</v>
      </c>
      <c r="M1021" s="137">
        <f aca="true" t="shared" si="122" ref="M1021:M1027">L1021*120/100</f>
        <v>102</v>
      </c>
      <c r="P1021" s="4">
        <v>82</v>
      </c>
      <c r="Q1021" s="137">
        <f>P1021*150/120</f>
        <v>102.5</v>
      </c>
    </row>
    <row r="1022" spans="8:17" ht="19.5" thickBot="1">
      <c r="H1022" s="9">
        <v>15</v>
      </c>
      <c r="I1022" s="137">
        <f t="shared" si="121"/>
        <v>13</v>
      </c>
      <c r="L1022" s="4">
        <v>85</v>
      </c>
      <c r="M1022" s="137">
        <f t="shared" si="122"/>
        <v>102</v>
      </c>
      <c r="P1022" s="4">
        <v>116</v>
      </c>
      <c r="Q1022" s="137">
        <f>P1022*150/120</f>
        <v>145</v>
      </c>
    </row>
    <row r="1023" spans="8:17" ht="19.5" thickBot="1">
      <c r="H1023" s="9">
        <v>102</v>
      </c>
      <c r="I1023" s="137">
        <f t="shared" si="121"/>
        <v>88.4</v>
      </c>
      <c r="L1023" s="4">
        <v>85</v>
      </c>
      <c r="M1023" s="137">
        <f t="shared" si="122"/>
        <v>102</v>
      </c>
      <c r="P1023" s="4">
        <v>4</v>
      </c>
      <c r="Q1023" s="137">
        <f>P1023*150/120</f>
        <v>5</v>
      </c>
    </row>
    <row r="1024" spans="8:17" ht="19.5" thickBot="1">
      <c r="H1024" s="9">
        <v>26</v>
      </c>
      <c r="I1024" s="137">
        <f t="shared" si="121"/>
        <v>22.533333333333335</v>
      </c>
      <c r="L1024" s="4">
        <v>16</v>
      </c>
      <c r="M1024" s="137">
        <f t="shared" si="122"/>
        <v>19.2</v>
      </c>
      <c r="P1024" s="4">
        <v>120</v>
      </c>
      <c r="Q1024" s="137">
        <f>P1024*150/120</f>
        <v>150</v>
      </c>
    </row>
    <row r="1025" spans="8:13" ht="19.5" thickBot="1">
      <c r="H1025" s="9">
        <v>4</v>
      </c>
      <c r="I1025" s="137">
        <f t="shared" si="121"/>
        <v>3.466666666666667</v>
      </c>
      <c r="L1025" s="4">
        <v>15</v>
      </c>
      <c r="M1025" s="137">
        <f t="shared" si="122"/>
        <v>18</v>
      </c>
    </row>
    <row r="1026" spans="8:13" ht="19.5" thickBot="1">
      <c r="H1026" s="9">
        <v>3</v>
      </c>
      <c r="I1026" s="137">
        <f t="shared" si="121"/>
        <v>2.6</v>
      </c>
      <c r="L1026" s="4">
        <v>3</v>
      </c>
      <c r="M1026" s="137">
        <f t="shared" si="122"/>
        <v>3.6</v>
      </c>
    </row>
    <row r="1027" spans="8:13" ht="19.5" thickBot="1">
      <c r="H1027" s="9">
        <v>148</v>
      </c>
      <c r="I1027" s="137">
        <f t="shared" si="121"/>
        <v>128.26666666666668</v>
      </c>
      <c r="L1027" s="4">
        <v>100</v>
      </c>
      <c r="M1027" s="137">
        <f t="shared" si="122"/>
        <v>120</v>
      </c>
    </row>
    <row r="1028" spans="8:9" ht="19.5" thickBot="1">
      <c r="H1028" s="9">
        <v>2</v>
      </c>
      <c r="I1028" s="137">
        <f t="shared" si="121"/>
        <v>1.7333333333333334</v>
      </c>
    </row>
    <row r="1029" spans="8:9" ht="19.5" thickBot="1">
      <c r="H1029" s="9">
        <v>150</v>
      </c>
      <c r="I1029" s="137">
        <f t="shared" si="121"/>
        <v>130</v>
      </c>
    </row>
    <row r="1030" ht="19.5" thickBot="1"/>
    <row r="1031" spans="3:4" ht="19.5" thickBot="1">
      <c r="C1031" s="28">
        <v>30</v>
      </c>
      <c r="D1031" s="137">
        <f>C1031*150/100</f>
        <v>45</v>
      </c>
    </row>
    <row r="1032" spans="3:13" ht="19.5" thickBot="1">
      <c r="C1032" s="29">
        <v>6</v>
      </c>
      <c r="D1032" s="137">
        <f aca="true" t="shared" si="123" ref="D1032:D1042">C1032*150/100</f>
        <v>9</v>
      </c>
      <c r="L1032" s="3">
        <v>32</v>
      </c>
      <c r="M1032" s="137">
        <f>L1032*160/95</f>
        <v>53.89473684210526</v>
      </c>
    </row>
    <row r="1033" spans="3:13" ht="19.5" thickBot="1">
      <c r="C1033" s="29">
        <v>8</v>
      </c>
      <c r="D1033" s="137">
        <f t="shared" si="123"/>
        <v>12</v>
      </c>
      <c r="G1033" s="8">
        <v>64</v>
      </c>
      <c r="H1033" s="137">
        <f aca="true" t="shared" si="124" ref="H1033:H1038">G1033*50/60</f>
        <v>53.333333333333336</v>
      </c>
      <c r="L1033" s="4">
        <v>67</v>
      </c>
      <c r="M1033" s="137">
        <f aca="true" t="shared" si="125" ref="M1033:M1040">L1033*160/95</f>
        <v>112.84210526315789</v>
      </c>
    </row>
    <row r="1034" spans="3:13" ht="19.5" thickBot="1">
      <c r="C1034" s="29">
        <v>2</v>
      </c>
      <c r="D1034" s="137">
        <f t="shared" si="123"/>
        <v>3</v>
      </c>
      <c r="G1034" s="9">
        <v>68</v>
      </c>
      <c r="H1034" s="137">
        <f t="shared" si="124"/>
        <v>56.666666666666664</v>
      </c>
      <c r="L1034" s="4">
        <v>8</v>
      </c>
      <c r="M1034" s="137">
        <f t="shared" si="125"/>
        <v>13.473684210526315</v>
      </c>
    </row>
    <row r="1035" spans="3:13" ht="19.5" thickBot="1">
      <c r="C1035" s="29"/>
      <c r="D1035" s="137">
        <f t="shared" si="123"/>
        <v>0</v>
      </c>
      <c r="G1035" s="9">
        <v>50</v>
      </c>
      <c r="H1035" s="137">
        <f t="shared" si="124"/>
        <v>41.666666666666664</v>
      </c>
      <c r="L1035" s="4">
        <v>13</v>
      </c>
      <c r="M1035" s="137">
        <f t="shared" si="125"/>
        <v>21.894736842105264</v>
      </c>
    </row>
    <row r="1036" spans="3:13" ht="19.5" thickBot="1">
      <c r="C1036" s="29">
        <v>19</v>
      </c>
      <c r="D1036" s="137">
        <f t="shared" si="123"/>
        <v>28.5</v>
      </c>
      <c r="G1036" s="9">
        <v>7</v>
      </c>
      <c r="H1036" s="137">
        <f t="shared" si="124"/>
        <v>5.833333333333333</v>
      </c>
      <c r="L1036" s="4">
        <v>8</v>
      </c>
      <c r="M1036" s="137">
        <f t="shared" si="125"/>
        <v>13.473684210526315</v>
      </c>
    </row>
    <row r="1037" spans="3:13" ht="19.5" thickBot="1">
      <c r="C1037" s="29">
        <v>19</v>
      </c>
      <c r="D1037" s="137">
        <f t="shared" si="123"/>
        <v>28.5</v>
      </c>
      <c r="G1037" s="9">
        <v>4</v>
      </c>
      <c r="H1037" s="137">
        <f t="shared" si="124"/>
        <v>3.3333333333333335</v>
      </c>
      <c r="L1037" s="4">
        <v>13</v>
      </c>
      <c r="M1037" s="137">
        <f t="shared" si="125"/>
        <v>21.894736842105264</v>
      </c>
    </row>
    <row r="1038" spans="3:13" ht="19.5" thickBot="1">
      <c r="C1038" s="29">
        <v>8</v>
      </c>
      <c r="D1038" s="137">
        <f t="shared" si="123"/>
        <v>12</v>
      </c>
      <c r="G1038" s="9">
        <v>60</v>
      </c>
      <c r="H1038" s="137">
        <f t="shared" si="124"/>
        <v>50</v>
      </c>
      <c r="L1038" s="4">
        <v>3</v>
      </c>
      <c r="M1038" s="137">
        <f t="shared" si="125"/>
        <v>5.052631578947368</v>
      </c>
    </row>
    <row r="1039" spans="3:13" ht="19.5" thickBot="1">
      <c r="C1039" s="29">
        <v>1.4</v>
      </c>
      <c r="D1039" s="137">
        <f t="shared" si="123"/>
        <v>2.1</v>
      </c>
      <c r="L1039" s="4">
        <v>2</v>
      </c>
      <c r="M1039" s="137">
        <f t="shared" si="125"/>
        <v>3.3684210526315788</v>
      </c>
    </row>
    <row r="1040" spans="3:13" ht="19.5" thickBot="1">
      <c r="C1040" s="29">
        <v>3</v>
      </c>
      <c r="D1040" s="137">
        <f t="shared" si="123"/>
        <v>4.5</v>
      </c>
      <c r="L1040" s="4">
        <v>95</v>
      </c>
      <c r="M1040" s="137">
        <f t="shared" si="125"/>
        <v>160</v>
      </c>
    </row>
    <row r="1041" spans="3:4" ht="19.5" thickBot="1">
      <c r="C1041" s="29">
        <v>20</v>
      </c>
      <c r="D1041" s="137">
        <f t="shared" si="123"/>
        <v>30</v>
      </c>
    </row>
    <row r="1042" spans="3:4" ht="19.5" thickBot="1">
      <c r="C1042" s="29">
        <v>100</v>
      </c>
      <c r="D1042" s="137">
        <f t="shared" si="123"/>
        <v>150</v>
      </c>
    </row>
    <row r="1043" spans="7:11" ht="19.5" thickBot="1">
      <c r="G1043" s="5">
        <v>0.99</v>
      </c>
      <c r="H1043" s="11">
        <v>4.04</v>
      </c>
      <c r="I1043" s="11">
        <v>8.43</v>
      </c>
      <c r="J1043" s="11">
        <v>74.67</v>
      </c>
      <c r="K1043" s="12">
        <v>4.35</v>
      </c>
    </row>
    <row r="1044" spans="7:11" ht="19.5" thickBot="1">
      <c r="G1044" s="137">
        <f>G1043*50/60</f>
        <v>0.825</v>
      </c>
      <c r="H1044" s="137">
        <f>H1043*50/60</f>
        <v>3.3666666666666667</v>
      </c>
      <c r="I1044" s="137">
        <f>I1043*50/60</f>
        <v>7.025</v>
      </c>
      <c r="J1044" s="137">
        <f>J1043*50/60</f>
        <v>62.225</v>
      </c>
      <c r="K1044" s="137">
        <f>K1043*50/60</f>
        <v>3.6249999999999996</v>
      </c>
    </row>
    <row r="1045" spans="13:14" ht="19.5" thickBot="1">
      <c r="M1045" s="8">
        <v>71</v>
      </c>
      <c r="N1045" s="137">
        <f aca="true" t="shared" si="126" ref="N1045:N1050">M1045*55/60</f>
        <v>65.08333333333333</v>
      </c>
    </row>
    <row r="1046" spans="7:14" ht="19.5" thickBot="1">
      <c r="G1046" s="8">
        <v>109</v>
      </c>
      <c r="H1046" s="137">
        <f aca="true" t="shared" si="127" ref="H1046:H1051">G1046*35/60</f>
        <v>63.583333333333336</v>
      </c>
      <c r="M1046" s="9">
        <v>76</v>
      </c>
      <c r="N1046" s="137">
        <f t="shared" si="126"/>
        <v>69.66666666666667</v>
      </c>
    </row>
    <row r="1047" spans="7:14" ht="19.5" thickBot="1">
      <c r="G1047" s="9">
        <v>109</v>
      </c>
      <c r="H1047" s="137">
        <f t="shared" si="127"/>
        <v>63.583333333333336</v>
      </c>
      <c r="M1047" s="9">
        <v>55.7</v>
      </c>
      <c r="N1047" s="137">
        <f t="shared" si="126"/>
        <v>51.05833333333333</v>
      </c>
    </row>
    <row r="1048" spans="7:14" ht="19.5" thickBot="1">
      <c r="G1048" s="9">
        <v>61</v>
      </c>
      <c r="H1048" s="137">
        <f t="shared" si="127"/>
        <v>35.583333333333336</v>
      </c>
      <c r="M1048" s="9">
        <v>0.3</v>
      </c>
      <c r="N1048" s="137">
        <f t="shared" si="126"/>
        <v>0.275</v>
      </c>
    </row>
    <row r="1049" spans="7:14" ht="19.5" thickBot="1">
      <c r="G1049" s="9">
        <v>61</v>
      </c>
      <c r="H1049" s="137">
        <f t="shared" si="127"/>
        <v>35.583333333333336</v>
      </c>
      <c r="M1049" s="9">
        <v>5</v>
      </c>
      <c r="N1049" s="137">
        <f t="shared" si="126"/>
        <v>4.583333333333333</v>
      </c>
    </row>
    <row r="1050" spans="7:14" ht="19.5" thickBot="1">
      <c r="G1050" s="9">
        <v>62</v>
      </c>
      <c r="H1050" s="137">
        <f t="shared" si="127"/>
        <v>36.166666666666664</v>
      </c>
      <c r="M1050" s="9">
        <v>60</v>
      </c>
      <c r="N1050" s="137">
        <f t="shared" si="126"/>
        <v>55</v>
      </c>
    </row>
    <row r="1051" spans="7:8" ht="19.5" thickBot="1">
      <c r="G1051" s="9">
        <v>80</v>
      </c>
      <c r="H1051" s="137">
        <f t="shared" si="127"/>
        <v>46.666666666666664</v>
      </c>
    </row>
    <row r="1054" ht="19.5" thickBot="1"/>
    <row r="1055" spans="9:13" ht="19.5" thickBot="1">
      <c r="I1055" s="3">
        <v>62</v>
      </c>
      <c r="J1055" s="137">
        <f>I1055*30/40</f>
        <v>46.5</v>
      </c>
      <c r="L1055" s="3">
        <v>62</v>
      </c>
      <c r="M1055" s="137">
        <f>L1055*35/40</f>
        <v>54.25</v>
      </c>
    </row>
    <row r="1056" spans="4:13" ht="19.5" thickBot="1">
      <c r="D1056" s="8">
        <v>108</v>
      </c>
      <c r="E1056" s="137">
        <f>D1056*180/200</f>
        <v>97.2</v>
      </c>
      <c r="I1056" s="4">
        <v>66</v>
      </c>
      <c r="J1056" s="137">
        <f>I1056*30/40</f>
        <v>49.5</v>
      </c>
      <c r="L1056" s="4">
        <v>66</v>
      </c>
      <c r="M1056" s="137">
        <f>L1056*35/40</f>
        <v>57.75</v>
      </c>
    </row>
    <row r="1057" spans="4:13" ht="19.5" thickBot="1">
      <c r="D1057" s="9">
        <v>108</v>
      </c>
      <c r="E1057" s="137">
        <f aca="true" t="shared" si="128" ref="E1057:E1075">D1057*180/200</f>
        <v>97.2</v>
      </c>
      <c r="I1057" s="4">
        <v>40</v>
      </c>
      <c r="J1057" s="137">
        <f>I1057*30/40</f>
        <v>30</v>
      </c>
      <c r="L1057" s="4">
        <v>40</v>
      </c>
      <c r="M1057" s="137">
        <f>L1057*35/40</f>
        <v>35</v>
      </c>
    </row>
    <row r="1058" spans="4:13" ht="19.5" thickBot="1">
      <c r="D1058" s="9">
        <v>108</v>
      </c>
      <c r="E1058" s="137">
        <f t="shared" si="128"/>
        <v>97.2</v>
      </c>
      <c r="I1058" s="4">
        <v>40</v>
      </c>
      <c r="J1058" s="137">
        <f>I1058*30/40</f>
        <v>30</v>
      </c>
      <c r="L1058" s="4">
        <v>40</v>
      </c>
      <c r="M1058" s="137">
        <f>L1058*35/40</f>
        <v>35</v>
      </c>
    </row>
    <row r="1059" spans="4:5" ht="19.5" thickBot="1">
      <c r="D1059" s="9">
        <v>108</v>
      </c>
      <c r="E1059" s="137">
        <f t="shared" si="128"/>
        <v>97.2</v>
      </c>
    </row>
    <row r="1060" spans="4:5" ht="19.5" thickBot="1">
      <c r="D1060" s="9">
        <v>105</v>
      </c>
      <c r="E1060" s="137">
        <f t="shared" si="128"/>
        <v>94.5</v>
      </c>
    </row>
    <row r="1061" spans="4:5" ht="19.5" thickBot="1">
      <c r="D1061" s="9">
        <v>75</v>
      </c>
      <c r="E1061" s="137">
        <f t="shared" si="128"/>
        <v>67.5</v>
      </c>
    </row>
    <row r="1062" spans="4:5" ht="19.5" thickBot="1">
      <c r="D1062" s="9">
        <v>40</v>
      </c>
      <c r="E1062" s="137">
        <f t="shared" si="128"/>
        <v>36</v>
      </c>
    </row>
    <row r="1063" spans="4:5" ht="19.5" thickBot="1">
      <c r="D1063" s="9"/>
      <c r="E1063" s="137">
        <f t="shared" si="128"/>
        <v>0</v>
      </c>
    </row>
    <row r="1064" spans="4:5" ht="19.5" thickBot="1">
      <c r="D1064" s="9">
        <v>42</v>
      </c>
      <c r="E1064" s="137">
        <f t="shared" si="128"/>
        <v>37.8</v>
      </c>
    </row>
    <row r="1065" spans="4:5" ht="19.5" thickBot="1">
      <c r="D1065" s="9">
        <v>42</v>
      </c>
      <c r="E1065" s="137">
        <f t="shared" si="128"/>
        <v>37.8</v>
      </c>
    </row>
    <row r="1066" spans="4:5" ht="19.5" thickBot="1">
      <c r="D1066" s="9">
        <v>40</v>
      </c>
      <c r="E1066" s="137">
        <f t="shared" si="128"/>
        <v>36</v>
      </c>
    </row>
    <row r="1067" spans="4:5" ht="19.5" thickBot="1">
      <c r="D1067" s="9">
        <v>20</v>
      </c>
      <c r="E1067" s="137">
        <f t="shared" si="128"/>
        <v>18</v>
      </c>
    </row>
    <row r="1068" spans="4:10" ht="19.5" thickBot="1">
      <c r="D1068" s="9">
        <v>10</v>
      </c>
      <c r="E1068" s="137">
        <f t="shared" si="128"/>
        <v>9</v>
      </c>
      <c r="I1068" s="3">
        <v>130</v>
      </c>
      <c r="J1068" s="137">
        <f>I1068*155/145</f>
        <v>138.9655172413793</v>
      </c>
    </row>
    <row r="1069" spans="4:10" ht="19.5" thickBot="1">
      <c r="D1069" s="9">
        <v>6</v>
      </c>
      <c r="E1069" s="137">
        <f t="shared" si="128"/>
        <v>5.4</v>
      </c>
      <c r="I1069" s="4">
        <v>130</v>
      </c>
      <c r="J1069" s="137">
        <f aca="true" t="shared" si="129" ref="J1069:J1080">I1069*155/145</f>
        <v>138.9655172413793</v>
      </c>
    </row>
    <row r="1070" spans="4:10" ht="19.5" thickBot="1">
      <c r="D1070" s="9">
        <v>10</v>
      </c>
      <c r="E1070" s="137">
        <f t="shared" si="128"/>
        <v>9</v>
      </c>
      <c r="I1070" s="4">
        <v>111</v>
      </c>
      <c r="J1070" s="137">
        <f t="shared" si="129"/>
        <v>118.65517241379311</v>
      </c>
    </row>
    <row r="1071" spans="4:10" ht="19.5" thickBot="1">
      <c r="D1071" s="9">
        <v>8</v>
      </c>
      <c r="E1071" s="137">
        <f t="shared" si="128"/>
        <v>7.2</v>
      </c>
      <c r="I1071" s="4"/>
      <c r="J1071" s="137">
        <f t="shared" si="129"/>
        <v>0</v>
      </c>
    </row>
    <row r="1072" spans="4:10" ht="19.5" thickBot="1">
      <c r="D1072" s="9">
        <v>6</v>
      </c>
      <c r="E1072" s="137">
        <f t="shared" si="128"/>
        <v>5.4</v>
      </c>
      <c r="I1072" s="4">
        <v>27</v>
      </c>
      <c r="J1072" s="137">
        <f t="shared" si="129"/>
        <v>28.862068965517242</v>
      </c>
    </row>
    <row r="1073" spans="4:10" ht="19.5" thickBot="1">
      <c r="D1073" s="9">
        <v>10</v>
      </c>
      <c r="E1073" s="137">
        <f t="shared" si="128"/>
        <v>9</v>
      </c>
      <c r="I1073" s="4">
        <v>27</v>
      </c>
      <c r="J1073" s="137">
        <f t="shared" si="129"/>
        <v>28.862068965517242</v>
      </c>
    </row>
    <row r="1074" spans="4:10" ht="19.5" thickBot="1">
      <c r="D1074" s="9">
        <v>234</v>
      </c>
      <c r="E1074" s="137">
        <f t="shared" si="128"/>
        <v>210.6</v>
      </c>
      <c r="I1074" s="4">
        <v>27</v>
      </c>
      <c r="J1074" s="137">
        <f t="shared" si="129"/>
        <v>28.862068965517242</v>
      </c>
    </row>
    <row r="1075" spans="4:10" ht="19.5" thickBot="1">
      <c r="D1075" s="9">
        <v>200</v>
      </c>
      <c r="E1075" s="137">
        <f t="shared" si="128"/>
        <v>180</v>
      </c>
      <c r="I1075" s="4">
        <v>27</v>
      </c>
      <c r="J1075" s="137">
        <f t="shared" si="129"/>
        <v>28.862068965517242</v>
      </c>
    </row>
    <row r="1076" spans="4:10" ht="19.5" thickBot="1">
      <c r="D1076" s="9">
        <v>3</v>
      </c>
      <c r="E1076" s="137">
        <f>D1076*180/200</f>
        <v>2.7</v>
      </c>
      <c r="I1076" s="4">
        <v>23</v>
      </c>
      <c r="J1076" s="137">
        <f t="shared" si="129"/>
        <v>24.586206896551722</v>
      </c>
    </row>
    <row r="1077" spans="9:10" ht="19.5" thickBot="1">
      <c r="I1077" s="4">
        <v>3</v>
      </c>
      <c r="J1077" s="137">
        <f t="shared" si="129"/>
        <v>3.206896551724138</v>
      </c>
    </row>
    <row r="1078" spans="9:14" ht="19.5" thickBot="1">
      <c r="I1078" s="4">
        <v>13</v>
      </c>
      <c r="J1078" s="137">
        <f t="shared" si="129"/>
        <v>13.89655172413793</v>
      </c>
      <c r="M1078" s="8">
        <v>59</v>
      </c>
      <c r="N1078" s="137">
        <f>M1078*210/230</f>
        <v>53.869565217391305</v>
      </c>
    </row>
    <row r="1079" spans="9:14" ht="19.5" thickBot="1">
      <c r="I1079" s="4">
        <v>12</v>
      </c>
      <c r="J1079" s="137">
        <f t="shared" si="129"/>
        <v>12.827586206896552</v>
      </c>
      <c r="M1079" s="9">
        <v>59</v>
      </c>
      <c r="N1079" s="137">
        <f aca="true" t="shared" si="130" ref="N1079:N1089">M1079*210/230</f>
        <v>53.869565217391305</v>
      </c>
    </row>
    <row r="1080" spans="9:14" ht="19.5" thickBot="1">
      <c r="I1080" s="4">
        <v>145</v>
      </c>
      <c r="J1080" s="137">
        <f t="shared" si="129"/>
        <v>155</v>
      </c>
      <c r="M1080" s="9">
        <v>59</v>
      </c>
      <c r="N1080" s="137">
        <f t="shared" si="130"/>
        <v>53.869565217391305</v>
      </c>
    </row>
    <row r="1081" spans="13:14" ht="19.5" thickBot="1">
      <c r="M1081" s="9">
        <v>59</v>
      </c>
      <c r="N1081" s="137">
        <f t="shared" si="130"/>
        <v>53.869565217391305</v>
      </c>
    </row>
    <row r="1082" spans="13:14" ht="19.5" thickBot="1">
      <c r="M1082" s="9"/>
      <c r="N1082" s="137">
        <f t="shared" si="130"/>
        <v>0</v>
      </c>
    </row>
    <row r="1083" spans="13:14" ht="19.5" thickBot="1">
      <c r="M1083" s="9">
        <v>46</v>
      </c>
      <c r="N1083" s="137">
        <f t="shared" si="130"/>
        <v>42</v>
      </c>
    </row>
    <row r="1084" spans="13:14" ht="19.5" thickBot="1">
      <c r="M1084" s="9">
        <v>46</v>
      </c>
      <c r="N1084" s="137">
        <f t="shared" si="130"/>
        <v>42</v>
      </c>
    </row>
    <row r="1085" spans="13:14" ht="19.5" thickBot="1">
      <c r="M1085" s="9">
        <v>23</v>
      </c>
      <c r="N1085" s="137">
        <f t="shared" si="130"/>
        <v>21</v>
      </c>
    </row>
    <row r="1086" spans="13:14" ht="19.5" thickBot="1">
      <c r="M1086" s="9">
        <v>84</v>
      </c>
      <c r="N1086" s="137">
        <f t="shared" si="130"/>
        <v>76.69565217391305</v>
      </c>
    </row>
    <row r="1087" spans="13:14" ht="19.5" thickBot="1">
      <c r="M1087" s="9">
        <v>122</v>
      </c>
      <c r="N1087" s="137">
        <f t="shared" si="130"/>
        <v>111.3913043478261</v>
      </c>
    </row>
    <row r="1088" spans="13:14" ht="19.5" thickBot="1">
      <c r="M1088" s="9">
        <v>6</v>
      </c>
      <c r="N1088" s="137">
        <f t="shared" si="130"/>
        <v>5.478260869565218</v>
      </c>
    </row>
    <row r="1089" spans="13:14" ht="19.5" thickBot="1">
      <c r="M1089" s="9">
        <v>230</v>
      </c>
      <c r="N1089" s="137">
        <f t="shared" si="130"/>
        <v>210</v>
      </c>
    </row>
    <row r="1090" spans="8:9" ht="19.5" thickBot="1">
      <c r="H1090" s="8">
        <v>43</v>
      </c>
      <c r="I1090" s="137">
        <f>H1090*35/60</f>
        <v>25.083333333333332</v>
      </c>
    </row>
    <row r="1091" spans="8:14" ht="19.5" thickBot="1">
      <c r="H1091" s="9">
        <v>43</v>
      </c>
      <c r="I1091" s="137">
        <f aca="true" t="shared" si="131" ref="I1091:I1098">H1091*35/60</f>
        <v>25.083333333333332</v>
      </c>
      <c r="M1091" s="14">
        <v>50</v>
      </c>
      <c r="N1091" s="137">
        <f>M1091*135/100</f>
        <v>67.5</v>
      </c>
    </row>
    <row r="1092" spans="8:14" ht="19.5" thickBot="1">
      <c r="H1092" s="9">
        <v>15</v>
      </c>
      <c r="I1092" s="137">
        <f t="shared" si="131"/>
        <v>8.75</v>
      </c>
      <c r="M1092" s="15">
        <v>55</v>
      </c>
      <c r="N1092" s="137">
        <f aca="true" t="shared" si="132" ref="N1092:N1100">M1092*135/100</f>
        <v>74.25</v>
      </c>
    </row>
    <row r="1093" spans="8:14" ht="19.5" thickBot="1">
      <c r="H1093" s="9">
        <v>1.9</v>
      </c>
      <c r="I1093" s="137">
        <f t="shared" si="131"/>
        <v>1.1083333333333334</v>
      </c>
      <c r="M1093" s="15">
        <v>60</v>
      </c>
      <c r="N1093" s="137">
        <f t="shared" si="132"/>
        <v>81</v>
      </c>
    </row>
    <row r="1094" spans="8:14" ht="19.5" thickBot="1">
      <c r="H1094" s="9">
        <v>7</v>
      </c>
      <c r="I1094" s="137">
        <f t="shared" si="131"/>
        <v>4.083333333333333</v>
      </c>
      <c r="M1094" s="15">
        <v>70</v>
      </c>
      <c r="N1094" s="137">
        <f t="shared" si="132"/>
        <v>94.5</v>
      </c>
    </row>
    <row r="1095" spans="8:14" ht="19.5" thickBot="1">
      <c r="H1095" s="9">
        <v>0.5</v>
      </c>
      <c r="I1095" s="137">
        <f t="shared" si="131"/>
        <v>0.2916666666666667</v>
      </c>
      <c r="M1095" s="15">
        <v>90</v>
      </c>
      <c r="N1095" s="137">
        <f t="shared" si="132"/>
        <v>121.5</v>
      </c>
    </row>
    <row r="1096" spans="8:14" ht="19.5" thickBot="1">
      <c r="H1096" s="9">
        <v>2</v>
      </c>
      <c r="I1096" s="137">
        <f t="shared" si="131"/>
        <v>1.1666666666666667</v>
      </c>
      <c r="M1096" s="15">
        <v>95</v>
      </c>
      <c r="N1096" s="137">
        <f t="shared" si="132"/>
        <v>128.25</v>
      </c>
    </row>
    <row r="1097" spans="8:14" ht="19.5" thickBot="1">
      <c r="H1097" s="9">
        <v>6</v>
      </c>
      <c r="I1097" s="137">
        <f t="shared" si="131"/>
        <v>3.5</v>
      </c>
      <c r="M1097" s="15">
        <v>100</v>
      </c>
      <c r="N1097" s="137">
        <f t="shared" si="132"/>
        <v>135</v>
      </c>
    </row>
    <row r="1098" spans="8:14" ht="19.5" thickBot="1">
      <c r="H1098" s="9">
        <v>60</v>
      </c>
      <c r="I1098" s="137">
        <f t="shared" si="131"/>
        <v>35</v>
      </c>
      <c r="M1098" s="15">
        <v>135</v>
      </c>
      <c r="N1098" s="137">
        <f t="shared" si="132"/>
        <v>182.25</v>
      </c>
    </row>
    <row r="1099" spans="13:14" ht="19.5" thickBot="1">
      <c r="M1099" s="15">
        <v>140</v>
      </c>
      <c r="N1099" s="137">
        <f t="shared" si="132"/>
        <v>189</v>
      </c>
    </row>
    <row r="1100" spans="13:14" ht="19.5" thickBot="1">
      <c r="M1100" s="15">
        <v>150</v>
      </c>
      <c r="N1100" s="137">
        <f t="shared" si="132"/>
        <v>202.5</v>
      </c>
    </row>
    <row r="1106" ht="19.5" thickBot="1"/>
    <row r="1107" spans="9:10" ht="19.5" thickBot="1">
      <c r="I1107" s="3">
        <v>112</v>
      </c>
      <c r="J1107" s="137">
        <f>I1107*140/130</f>
        <v>120.61538461538461</v>
      </c>
    </row>
    <row r="1108" spans="4:10" ht="19.5" thickBot="1">
      <c r="D1108" s="3">
        <v>147</v>
      </c>
      <c r="E1108" s="137">
        <f aca="true" t="shared" si="133" ref="E1108:E1113">D1108*39/46</f>
        <v>124.6304347826087</v>
      </c>
      <c r="I1108" s="4">
        <v>112</v>
      </c>
      <c r="J1108" s="137">
        <f>I1108*140/130</f>
        <v>120.61538461538461</v>
      </c>
    </row>
    <row r="1109" spans="4:10" ht="19.5" thickBot="1">
      <c r="D1109" s="4">
        <v>147</v>
      </c>
      <c r="E1109" s="137">
        <f t="shared" si="133"/>
        <v>124.6304347826087</v>
      </c>
      <c r="I1109" s="4">
        <v>107</v>
      </c>
      <c r="J1109" s="137">
        <f>I1109*140/130</f>
        <v>115.23076923076923</v>
      </c>
    </row>
    <row r="1110" spans="4:10" ht="19.5" thickBot="1">
      <c r="D1110" s="4">
        <v>141</v>
      </c>
      <c r="E1110" s="137">
        <f t="shared" si="133"/>
        <v>119.54347826086956</v>
      </c>
      <c r="I1110" s="4">
        <v>50</v>
      </c>
      <c r="J1110" s="137">
        <f>I1110*140/130</f>
        <v>53.84615384615385</v>
      </c>
    </row>
    <row r="1111" spans="4:10" ht="19.5" thickBot="1">
      <c r="D1111" s="4">
        <v>68</v>
      </c>
      <c r="E1111" s="137">
        <f t="shared" si="133"/>
        <v>57.65217391304348</v>
      </c>
      <c r="I1111" s="4">
        <v>39</v>
      </c>
      <c r="J1111" s="137">
        <f>I1111*140/130</f>
        <v>42</v>
      </c>
    </row>
    <row r="1112" spans="4:5" ht="19.5" thickBot="1">
      <c r="D1112" s="4">
        <v>46</v>
      </c>
      <c r="E1112" s="137">
        <f t="shared" si="133"/>
        <v>39</v>
      </c>
    </row>
    <row r="1113" ht="18.75">
      <c r="E1113" s="137">
        <f t="shared" si="133"/>
        <v>0</v>
      </c>
    </row>
    <row r="1121" ht="19.5" thickBot="1"/>
    <row r="1122" spans="17:18" ht="19.5" thickBot="1">
      <c r="Q1122" s="16">
        <v>23</v>
      </c>
      <c r="R1122" s="137">
        <f>Q1122*150/70</f>
        <v>49.285714285714285</v>
      </c>
    </row>
    <row r="1123" spans="14:18" ht="19.5" thickBot="1">
      <c r="N1123" s="14">
        <v>20</v>
      </c>
      <c r="O1123" s="137">
        <f>N1123*140/200</f>
        <v>14</v>
      </c>
      <c r="Q1123" s="17">
        <v>54</v>
      </c>
      <c r="R1123" s="137">
        <f>Q1123*150/70</f>
        <v>115.71428571428571</v>
      </c>
    </row>
    <row r="1124" spans="11:15" ht="19.5" thickBot="1">
      <c r="K1124" s="3">
        <v>68</v>
      </c>
      <c r="L1124" s="137">
        <f>K1124*90/80</f>
        <v>76.5</v>
      </c>
      <c r="N1124" s="15">
        <v>190</v>
      </c>
      <c r="O1124" s="137">
        <f>N1124*140/200</f>
        <v>133</v>
      </c>
    </row>
    <row r="1125" spans="7:15" ht="19.5" thickBot="1">
      <c r="G1125" s="132">
        <v>73</v>
      </c>
      <c r="H1125" s="126">
        <f>G1125*90/100</f>
        <v>65.7</v>
      </c>
      <c r="K1125" s="4">
        <v>68</v>
      </c>
      <c r="L1125" s="137">
        <f aca="true" t="shared" si="134" ref="L1125:L1131">K1125*90/80</f>
        <v>76.5</v>
      </c>
      <c r="N1125" s="15">
        <v>15</v>
      </c>
      <c r="O1125" s="137">
        <f>N1125*140/200</f>
        <v>10.5</v>
      </c>
    </row>
    <row r="1126" spans="7:15" ht="19.5" thickBot="1">
      <c r="G1126" s="133">
        <v>69</v>
      </c>
      <c r="H1126" s="126">
        <f aca="true" t="shared" si="135" ref="H1126:H1158">G1126*90/100</f>
        <v>62.1</v>
      </c>
      <c r="K1126" s="4">
        <v>68</v>
      </c>
      <c r="L1126" s="137">
        <f t="shared" si="134"/>
        <v>76.5</v>
      </c>
      <c r="N1126" s="15">
        <v>10</v>
      </c>
      <c r="O1126" s="137">
        <f>N1126*140/200</f>
        <v>7</v>
      </c>
    </row>
    <row r="1127" spans="7:15" ht="19.5" thickBot="1">
      <c r="G1127" s="133">
        <v>275</v>
      </c>
      <c r="H1127" s="126">
        <f t="shared" si="135"/>
        <v>247.5</v>
      </c>
      <c r="K1127" s="4">
        <v>68</v>
      </c>
      <c r="L1127" s="137">
        <f t="shared" si="134"/>
        <v>76.5</v>
      </c>
      <c r="N1127" s="15">
        <v>200</v>
      </c>
      <c r="O1127" s="137">
        <f>N1127*140/200</f>
        <v>140</v>
      </c>
    </row>
    <row r="1128" spans="7:12" ht="19.5" thickBot="1">
      <c r="G1128" s="133">
        <v>1963</v>
      </c>
      <c r="H1128" s="126">
        <f t="shared" si="135"/>
        <v>1766.7</v>
      </c>
      <c r="K1128" s="4">
        <v>13</v>
      </c>
      <c r="L1128" s="137">
        <f t="shared" si="134"/>
        <v>14.625</v>
      </c>
    </row>
    <row r="1129" spans="2:12" ht="19.5" thickBot="1">
      <c r="B1129" s="16">
        <v>55</v>
      </c>
      <c r="C1129" s="126">
        <f>B1129*70/150</f>
        <v>25.666666666666668</v>
      </c>
      <c r="G1129" s="138">
        <v>55</v>
      </c>
      <c r="H1129" s="126">
        <f t="shared" si="135"/>
        <v>49.5</v>
      </c>
      <c r="K1129" s="4">
        <v>12</v>
      </c>
      <c r="L1129" s="137">
        <f t="shared" si="134"/>
        <v>13.5</v>
      </c>
    </row>
    <row r="1130" spans="2:12" ht="19.5" thickBot="1">
      <c r="B1130" s="17">
        <v>330</v>
      </c>
      <c r="C1130" s="126">
        <f>B1130*70/150</f>
        <v>154</v>
      </c>
      <c r="G1130" s="138">
        <v>24</v>
      </c>
      <c r="H1130" s="126">
        <f t="shared" si="135"/>
        <v>21.6</v>
      </c>
      <c r="K1130" s="4">
        <v>2</v>
      </c>
      <c r="L1130" s="137">
        <f t="shared" si="134"/>
        <v>2.25</v>
      </c>
    </row>
    <row r="1131" spans="2:12" ht="19.5" thickBot="1">
      <c r="B1131" s="17">
        <v>12</v>
      </c>
      <c r="C1131" s="126">
        <f>B1131*70/150</f>
        <v>5.6</v>
      </c>
      <c r="G1131" s="138">
        <v>37</v>
      </c>
      <c r="H1131" s="126">
        <f t="shared" si="135"/>
        <v>33.3</v>
      </c>
      <c r="K1131" s="4">
        <v>80</v>
      </c>
      <c r="L1131" s="137">
        <f t="shared" si="134"/>
        <v>90</v>
      </c>
    </row>
    <row r="1132" spans="2:8" ht="19.5" thickBot="1">
      <c r="B1132" s="17">
        <v>5</v>
      </c>
      <c r="C1132" s="126">
        <f>B1132*70/150</f>
        <v>2.3333333333333335</v>
      </c>
      <c r="G1132" s="138">
        <v>6.9</v>
      </c>
      <c r="H1132" s="126">
        <f t="shared" si="135"/>
        <v>6.21</v>
      </c>
    </row>
    <row r="1133" spans="2:8" ht="19.5" thickBot="1">
      <c r="B1133" s="17">
        <v>150</v>
      </c>
      <c r="C1133" s="126">
        <f>B1133*70/150</f>
        <v>70</v>
      </c>
      <c r="G1133" s="138">
        <v>24</v>
      </c>
      <c r="H1133" s="126">
        <f t="shared" si="135"/>
        <v>21.6</v>
      </c>
    </row>
    <row r="1134" spans="7:8" ht="19.5" thickBot="1">
      <c r="G1134" s="138">
        <v>140</v>
      </c>
      <c r="H1134" s="126">
        <f t="shared" si="135"/>
        <v>126</v>
      </c>
    </row>
    <row r="1135" spans="7:16" ht="19.5" thickBot="1">
      <c r="G1135" s="138">
        <v>140</v>
      </c>
      <c r="H1135" s="126">
        <f t="shared" si="135"/>
        <v>126</v>
      </c>
      <c r="L1135" s="18">
        <v>5.2</v>
      </c>
      <c r="M1135" s="19">
        <v>4.24</v>
      </c>
      <c r="N1135" s="19">
        <v>11.62</v>
      </c>
      <c r="O1135" s="19">
        <v>133.8</v>
      </c>
      <c r="P1135" s="19">
        <v>8.42</v>
      </c>
    </row>
    <row r="1136" spans="7:16" ht="19.5" thickBot="1">
      <c r="G1136" s="138">
        <v>140</v>
      </c>
      <c r="H1136" s="126">
        <f t="shared" si="135"/>
        <v>126</v>
      </c>
      <c r="L1136" s="137">
        <f>L1135*250/200</f>
        <v>6.5</v>
      </c>
      <c r="M1136" s="137">
        <f>M1135*250/200</f>
        <v>5.3</v>
      </c>
      <c r="N1136" s="137">
        <f>N1135*250/200</f>
        <v>14.525</v>
      </c>
      <c r="O1136" s="137">
        <f>O1135*250/200</f>
        <v>167.25</v>
      </c>
      <c r="P1136" s="137">
        <f>P1135*250/200</f>
        <v>10.525</v>
      </c>
    </row>
    <row r="1137" spans="7:8" ht="19.5" thickBot="1">
      <c r="G1137" s="138">
        <v>140</v>
      </c>
      <c r="H1137" s="126">
        <f t="shared" si="135"/>
        <v>126</v>
      </c>
    </row>
    <row r="1138" spans="7:8" ht="19.5" thickBot="1">
      <c r="G1138" s="138">
        <v>260</v>
      </c>
      <c r="H1138" s="126">
        <f t="shared" si="135"/>
        <v>234</v>
      </c>
    </row>
    <row r="1139" spans="7:16" ht="19.5" thickBot="1">
      <c r="G1139" s="138">
        <v>100</v>
      </c>
      <c r="H1139" s="126">
        <f t="shared" si="135"/>
        <v>90</v>
      </c>
      <c r="O1139" s="14">
        <v>20</v>
      </c>
      <c r="P1139" s="137">
        <f>O1139*192/1000</f>
        <v>3.84</v>
      </c>
    </row>
    <row r="1140" spans="7:16" ht="19.5" thickBot="1">
      <c r="G1140" s="138">
        <v>11</v>
      </c>
      <c r="H1140" s="126">
        <f t="shared" si="135"/>
        <v>9.9</v>
      </c>
      <c r="O1140" s="15"/>
      <c r="P1140" s="137">
        <f aca="true" t="shared" si="136" ref="P1140:P1149">O1140*192/1000</f>
        <v>0</v>
      </c>
    </row>
    <row r="1141" spans="7:16" ht="19.5" thickBot="1">
      <c r="G1141" s="138">
        <v>100</v>
      </c>
      <c r="H1141" s="126">
        <f t="shared" si="135"/>
        <v>90</v>
      </c>
      <c r="O1141" s="15">
        <v>300</v>
      </c>
      <c r="P1141" s="137">
        <f t="shared" si="136"/>
        <v>57.6</v>
      </c>
    </row>
    <row r="1142" spans="7:16" ht="19.5" thickBot="1">
      <c r="G1142" s="138">
        <v>50</v>
      </c>
      <c r="H1142" s="126">
        <f t="shared" si="135"/>
        <v>45</v>
      </c>
      <c r="O1142" s="15">
        <v>300</v>
      </c>
      <c r="P1142" s="137">
        <f t="shared" si="136"/>
        <v>57.6</v>
      </c>
    </row>
    <row r="1143" spans="7:16" ht="19.5" thickBot="1">
      <c r="G1143" s="138">
        <v>50</v>
      </c>
      <c r="H1143" s="126">
        <f t="shared" si="135"/>
        <v>45</v>
      </c>
      <c r="O1143" s="15">
        <v>300</v>
      </c>
      <c r="P1143" s="137">
        <f t="shared" si="136"/>
        <v>57.6</v>
      </c>
    </row>
    <row r="1144" spans="7:16" ht="19.5" thickBot="1">
      <c r="G1144" s="138">
        <v>80</v>
      </c>
      <c r="H1144" s="126">
        <f t="shared" si="135"/>
        <v>72</v>
      </c>
      <c r="O1144" s="15"/>
      <c r="P1144" s="137">
        <f t="shared" si="136"/>
        <v>0</v>
      </c>
    </row>
    <row r="1145" spans="7:16" ht="19.5" thickBot="1">
      <c r="G1145" s="138">
        <v>43</v>
      </c>
      <c r="H1145" s="126">
        <f t="shared" si="135"/>
        <v>38.7</v>
      </c>
      <c r="L1145" s="14">
        <v>92</v>
      </c>
      <c r="M1145" s="137">
        <f>L1145*250/200</f>
        <v>115</v>
      </c>
      <c r="O1145" s="15"/>
      <c r="P1145" s="137">
        <f t="shared" si="136"/>
        <v>0</v>
      </c>
    </row>
    <row r="1146" spans="7:16" ht="19.5" thickBot="1">
      <c r="G1146" s="138">
        <v>12</v>
      </c>
      <c r="H1146" s="126">
        <f t="shared" si="135"/>
        <v>10.8</v>
      </c>
      <c r="L1146" s="15">
        <v>99</v>
      </c>
      <c r="M1146" s="137">
        <f aca="true" t="shared" si="137" ref="M1146:M1164">L1146*250/200</f>
        <v>123.75</v>
      </c>
      <c r="O1146" s="15">
        <v>40</v>
      </c>
      <c r="P1146" s="137">
        <f t="shared" si="136"/>
        <v>7.68</v>
      </c>
    </row>
    <row r="1147" spans="7:16" ht="19.5" thickBot="1">
      <c r="G1147" s="138">
        <v>29</v>
      </c>
      <c r="H1147" s="126">
        <f t="shared" si="135"/>
        <v>26.1</v>
      </c>
      <c r="L1147" s="15">
        <v>106</v>
      </c>
      <c r="M1147" s="137">
        <f t="shared" si="137"/>
        <v>132.5</v>
      </c>
      <c r="O1147" s="15">
        <v>40</v>
      </c>
      <c r="P1147" s="137">
        <f t="shared" si="136"/>
        <v>7.68</v>
      </c>
    </row>
    <row r="1148" spans="7:16" ht="19.5" thickBot="1">
      <c r="G1148" s="138">
        <v>21</v>
      </c>
      <c r="H1148" s="126">
        <f t="shared" si="135"/>
        <v>18.9</v>
      </c>
      <c r="L1148" s="15">
        <v>115</v>
      </c>
      <c r="M1148" s="137">
        <f t="shared" si="137"/>
        <v>143.75</v>
      </c>
      <c r="O1148" s="15">
        <v>40</v>
      </c>
      <c r="P1148" s="137">
        <f t="shared" si="136"/>
        <v>7.68</v>
      </c>
    </row>
    <row r="1149" spans="7:16" ht="19.5" thickBot="1">
      <c r="G1149" s="138">
        <v>11</v>
      </c>
      <c r="H1149" s="126">
        <f t="shared" si="135"/>
        <v>9.9</v>
      </c>
      <c r="L1149" s="15"/>
      <c r="M1149" s="137">
        <f t="shared" si="137"/>
        <v>0</v>
      </c>
      <c r="O1149" s="15">
        <v>10</v>
      </c>
      <c r="P1149" s="137">
        <f t="shared" si="136"/>
        <v>1.92</v>
      </c>
    </row>
    <row r="1150" spans="7:13" ht="19.5" thickBot="1">
      <c r="G1150" s="138">
        <v>20</v>
      </c>
      <c r="H1150" s="126">
        <f t="shared" si="135"/>
        <v>18</v>
      </c>
      <c r="L1150" s="15">
        <v>9</v>
      </c>
      <c r="M1150" s="137">
        <f t="shared" si="137"/>
        <v>11.25</v>
      </c>
    </row>
    <row r="1151" spans="7:13" ht="19.5" thickBot="1">
      <c r="G1151" s="138">
        <v>0.6</v>
      </c>
      <c r="H1151" s="126">
        <f t="shared" si="135"/>
        <v>0.54</v>
      </c>
      <c r="L1151" s="15">
        <v>10</v>
      </c>
      <c r="M1151" s="137">
        <f t="shared" si="137"/>
        <v>12.5</v>
      </c>
    </row>
    <row r="1152" spans="7:13" ht="19.5" thickBot="1">
      <c r="G1152" s="138">
        <v>0.6</v>
      </c>
      <c r="H1152" s="126">
        <f t="shared" si="135"/>
        <v>0.54</v>
      </c>
      <c r="L1152" s="15">
        <v>4</v>
      </c>
      <c r="M1152" s="137">
        <f t="shared" si="137"/>
        <v>5</v>
      </c>
    </row>
    <row r="1153" spans="7:13" ht="19.5" thickBot="1">
      <c r="G1153" s="138">
        <v>1.2</v>
      </c>
      <c r="H1153" s="126">
        <f t="shared" si="135"/>
        <v>1.08</v>
      </c>
      <c r="L1153" s="15">
        <v>1.6</v>
      </c>
      <c r="M1153" s="137">
        <f t="shared" si="137"/>
        <v>2</v>
      </c>
    </row>
    <row r="1154" spans="7:13" ht="19.5" thickBot="1">
      <c r="G1154" s="138">
        <v>47</v>
      </c>
      <c r="H1154" s="126">
        <f t="shared" si="135"/>
        <v>42.3</v>
      </c>
      <c r="L1154" s="15">
        <v>121</v>
      </c>
      <c r="M1154" s="137">
        <f t="shared" si="137"/>
        <v>151.25</v>
      </c>
    </row>
    <row r="1155" spans="7:13" ht="19.5" thickBot="1">
      <c r="G1155" s="138">
        <v>0.5</v>
      </c>
      <c r="H1155" s="126">
        <f t="shared" si="135"/>
        <v>0.45</v>
      </c>
      <c r="L1155" s="15"/>
      <c r="M1155" s="137">
        <f t="shared" si="137"/>
        <v>0</v>
      </c>
    </row>
    <row r="1156" spans="7:13" ht="19.5" thickBot="1">
      <c r="G1156" s="138">
        <v>3</v>
      </c>
      <c r="H1156" s="126">
        <f t="shared" si="135"/>
        <v>2.7</v>
      </c>
      <c r="L1156" s="15"/>
      <c r="M1156" s="137">
        <f t="shared" si="137"/>
        <v>0</v>
      </c>
    </row>
    <row r="1157" spans="7:13" ht="19.5" thickBot="1">
      <c r="G1157" s="138">
        <v>6</v>
      </c>
      <c r="H1157" s="126">
        <f t="shared" si="135"/>
        <v>5.4</v>
      </c>
      <c r="L1157" s="15"/>
      <c r="M1157" s="137">
        <f t="shared" si="137"/>
        <v>0</v>
      </c>
    </row>
    <row r="1158" spans="7:13" ht="19.5" thickBot="1">
      <c r="G1158" s="10">
        <v>6</v>
      </c>
      <c r="H1158" s="126">
        <f t="shared" si="135"/>
        <v>5.4</v>
      </c>
      <c r="L1158" s="15">
        <v>35</v>
      </c>
      <c r="M1158" s="137">
        <f t="shared" si="137"/>
        <v>43.75</v>
      </c>
    </row>
    <row r="1159" spans="12:13" ht="19.5" thickBot="1">
      <c r="L1159" s="15">
        <v>44</v>
      </c>
      <c r="M1159" s="137">
        <f t="shared" si="137"/>
        <v>55</v>
      </c>
    </row>
    <row r="1160" spans="12:13" ht="19.5" thickBot="1">
      <c r="L1160" s="15">
        <v>4</v>
      </c>
      <c r="M1160" s="137">
        <f t="shared" si="137"/>
        <v>5</v>
      </c>
    </row>
    <row r="1161" spans="12:13" ht="19.5" thickBot="1">
      <c r="L1161" s="15">
        <v>3</v>
      </c>
      <c r="M1161" s="137">
        <f t="shared" si="137"/>
        <v>3.75</v>
      </c>
    </row>
    <row r="1162" spans="12:13" ht="19.5" thickBot="1">
      <c r="L1162" s="15">
        <v>2</v>
      </c>
      <c r="M1162" s="137">
        <f t="shared" si="137"/>
        <v>2.5</v>
      </c>
    </row>
    <row r="1163" spans="12:17" ht="19.5" thickBot="1">
      <c r="L1163" s="15">
        <v>38</v>
      </c>
      <c r="M1163" s="137">
        <f t="shared" si="137"/>
        <v>47.5</v>
      </c>
      <c r="P1163" s="16">
        <v>4</v>
      </c>
      <c r="Q1163" s="137">
        <f>P1163*250/200</f>
        <v>5</v>
      </c>
    </row>
    <row r="1164" spans="12:17" ht="19.5" thickBot="1">
      <c r="L1164" s="15">
        <v>28</v>
      </c>
      <c r="M1164" s="137">
        <f t="shared" si="137"/>
        <v>35</v>
      </c>
      <c r="P1164" s="17"/>
      <c r="Q1164" s="137">
        <f aca="true" t="shared" si="138" ref="Q1164:Q1173">P1164*250/200</f>
        <v>0</v>
      </c>
    </row>
    <row r="1165" spans="16:17" ht="19.5" thickBot="1">
      <c r="P1165" s="17">
        <v>58</v>
      </c>
      <c r="Q1165" s="137">
        <f t="shared" si="138"/>
        <v>72.5</v>
      </c>
    </row>
    <row r="1166" spans="8:17" ht="19.5" thickBot="1">
      <c r="H1166" s="16">
        <v>80</v>
      </c>
      <c r="I1166" s="137">
        <f>H1166*192/1000</f>
        <v>15.36</v>
      </c>
      <c r="P1166" s="17">
        <v>58</v>
      </c>
      <c r="Q1166" s="137">
        <f t="shared" si="138"/>
        <v>72.5</v>
      </c>
    </row>
    <row r="1167" spans="8:17" ht="19.5" thickBot="1">
      <c r="H1167" s="17"/>
      <c r="I1167" s="137">
        <f aca="true" t="shared" si="139" ref="I1167:I1178">H1167*192/1000</f>
        <v>0</v>
      </c>
      <c r="P1167" s="17">
        <v>58</v>
      </c>
      <c r="Q1167" s="137">
        <f t="shared" si="138"/>
        <v>72.5</v>
      </c>
    </row>
    <row r="1168" spans="8:17" ht="19.5" thickBot="1">
      <c r="H1168" s="17">
        <v>200</v>
      </c>
      <c r="I1168" s="137">
        <f t="shared" si="139"/>
        <v>38.4</v>
      </c>
      <c r="P1168" s="17">
        <v>58</v>
      </c>
      <c r="Q1168" s="137">
        <f t="shared" si="138"/>
        <v>72.5</v>
      </c>
    </row>
    <row r="1169" spans="8:17" ht="19.5" thickBot="1">
      <c r="H1169" s="17">
        <v>200</v>
      </c>
      <c r="I1169" s="137">
        <f t="shared" si="139"/>
        <v>38.4</v>
      </c>
      <c r="L1169" s="16">
        <v>15</v>
      </c>
      <c r="M1169" s="137">
        <f>L1169*250/200</f>
        <v>18.75</v>
      </c>
      <c r="P1169" s="17"/>
      <c r="Q1169" s="137">
        <f t="shared" si="138"/>
        <v>0</v>
      </c>
    </row>
    <row r="1170" spans="8:17" ht="19.5" thickBot="1">
      <c r="H1170" s="17">
        <v>200</v>
      </c>
      <c r="I1170" s="137">
        <f t="shared" si="139"/>
        <v>38.4</v>
      </c>
      <c r="L1170" s="17"/>
      <c r="M1170" s="137">
        <f aca="true" t="shared" si="140" ref="M1170:M1181">L1170*250/200</f>
        <v>0</v>
      </c>
      <c r="P1170" s="17">
        <v>8</v>
      </c>
      <c r="Q1170" s="137">
        <f t="shared" si="138"/>
        <v>10</v>
      </c>
    </row>
    <row r="1171" spans="8:17" ht="19.5" thickBot="1">
      <c r="H1171" s="17">
        <v>200</v>
      </c>
      <c r="I1171" s="137">
        <f t="shared" si="139"/>
        <v>38.4</v>
      </c>
      <c r="L1171" s="17">
        <v>38</v>
      </c>
      <c r="M1171" s="137">
        <f t="shared" si="140"/>
        <v>47.5</v>
      </c>
      <c r="P1171" s="17">
        <v>8</v>
      </c>
      <c r="Q1171" s="137">
        <f t="shared" si="138"/>
        <v>10</v>
      </c>
    </row>
    <row r="1172" spans="8:17" ht="19.5" thickBot="1">
      <c r="H1172" s="17"/>
      <c r="I1172" s="137">
        <f t="shared" si="139"/>
        <v>0</v>
      </c>
      <c r="L1172" s="17">
        <v>38</v>
      </c>
      <c r="M1172" s="137">
        <f t="shared" si="140"/>
        <v>47.5</v>
      </c>
      <c r="P1172" s="17">
        <v>8</v>
      </c>
      <c r="Q1172" s="137">
        <f t="shared" si="138"/>
        <v>10</v>
      </c>
    </row>
    <row r="1173" spans="8:17" ht="19.5" thickBot="1">
      <c r="H1173" s="17">
        <v>40</v>
      </c>
      <c r="I1173" s="137">
        <f t="shared" si="139"/>
        <v>7.68</v>
      </c>
      <c r="L1173" s="17">
        <v>38</v>
      </c>
      <c r="M1173" s="137">
        <f t="shared" si="140"/>
        <v>47.5</v>
      </c>
      <c r="P1173" s="17">
        <v>2</v>
      </c>
      <c r="Q1173" s="137">
        <f t="shared" si="138"/>
        <v>2.5</v>
      </c>
    </row>
    <row r="1174" spans="8:13" ht="19.5" thickBot="1">
      <c r="H1174" s="17">
        <v>40</v>
      </c>
      <c r="I1174" s="137">
        <f t="shared" si="139"/>
        <v>7.68</v>
      </c>
      <c r="L1174" s="17">
        <v>38</v>
      </c>
      <c r="M1174" s="137">
        <f t="shared" si="140"/>
        <v>47.5</v>
      </c>
    </row>
    <row r="1175" spans="8:13" ht="19.5" thickBot="1">
      <c r="H1175" s="17">
        <v>30</v>
      </c>
      <c r="I1175" s="137">
        <f t="shared" si="139"/>
        <v>5.76</v>
      </c>
      <c r="L1175" s="17"/>
      <c r="M1175" s="137">
        <f t="shared" si="140"/>
        <v>0</v>
      </c>
    </row>
    <row r="1176" spans="8:13" ht="19.5" thickBot="1">
      <c r="H1176" s="17">
        <v>30</v>
      </c>
      <c r="I1176" s="137">
        <f t="shared" si="139"/>
        <v>5.76</v>
      </c>
      <c r="L1176" s="17">
        <v>8</v>
      </c>
      <c r="M1176" s="137">
        <f t="shared" si="140"/>
        <v>10</v>
      </c>
    </row>
    <row r="1177" spans="8:13" ht="19.5" thickBot="1">
      <c r="H1177" s="17">
        <v>20</v>
      </c>
      <c r="I1177" s="137">
        <f t="shared" si="139"/>
        <v>3.84</v>
      </c>
      <c r="L1177" s="17">
        <v>8</v>
      </c>
      <c r="M1177" s="137">
        <f t="shared" si="140"/>
        <v>10</v>
      </c>
    </row>
    <row r="1178" spans="8:13" ht="19.5" thickBot="1">
      <c r="H1178" s="15">
        <v>750</v>
      </c>
      <c r="I1178" s="137">
        <f t="shared" si="139"/>
        <v>144</v>
      </c>
      <c r="L1178" s="17">
        <v>6</v>
      </c>
      <c r="M1178" s="137">
        <f t="shared" si="140"/>
        <v>7.5</v>
      </c>
    </row>
    <row r="1179" spans="12:13" ht="19.5" thickBot="1">
      <c r="L1179" s="17">
        <v>6</v>
      </c>
      <c r="M1179" s="137">
        <f t="shared" si="140"/>
        <v>7.5</v>
      </c>
    </row>
    <row r="1180" spans="12:13" ht="19.5" thickBot="1">
      <c r="L1180" s="17">
        <v>2</v>
      </c>
      <c r="M1180" s="137">
        <f t="shared" si="140"/>
        <v>2.5</v>
      </c>
    </row>
    <row r="1181" spans="12:13" ht="19.5" thickBot="1">
      <c r="L1181" s="17">
        <v>144</v>
      </c>
      <c r="M1181" s="137">
        <f t="shared" si="140"/>
        <v>180</v>
      </c>
    </row>
    <row r="1183" ht="19.5" thickBot="1"/>
    <row r="1184" spans="16:17" ht="19.5" thickBot="1">
      <c r="P1184" s="14">
        <v>110</v>
      </c>
      <c r="Q1184" s="137">
        <f>P1184/2</f>
        <v>55</v>
      </c>
    </row>
    <row r="1185" spans="16:17" ht="19.5" thickBot="1">
      <c r="P1185" s="15">
        <v>110</v>
      </c>
      <c r="Q1185" s="137">
        <f aca="true" t="shared" si="141" ref="Q1185:Q1191">P1185/2</f>
        <v>55</v>
      </c>
    </row>
    <row r="1186" spans="16:17" ht="19.5" thickBot="1">
      <c r="P1186" s="15">
        <v>69</v>
      </c>
      <c r="Q1186" s="137">
        <f t="shared" si="141"/>
        <v>34.5</v>
      </c>
    </row>
    <row r="1187" spans="13:17" ht="19.5" thickBot="1">
      <c r="M1187" s="14">
        <v>74</v>
      </c>
      <c r="N1187" s="137">
        <f>M1187*150/180</f>
        <v>61.666666666666664</v>
      </c>
      <c r="P1187" s="15">
        <v>20</v>
      </c>
      <c r="Q1187" s="137">
        <f t="shared" si="141"/>
        <v>10</v>
      </c>
    </row>
    <row r="1188" spans="6:17" ht="19.5" thickBot="1">
      <c r="F1188" s="18">
        <v>10.19</v>
      </c>
      <c r="G1188" s="19">
        <v>5.4</v>
      </c>
      <c r="H1188" s="19">
        <v>18.48</v>
      </c>
      <c r="I1188" s="19">
        <v>185</v>
      </c>
      <c r="J1188" s="19">
        <v>0.17</v>
      </c>
      <c r="M1188" s="15">
        <v>80</v>
      </c>
      <c r="N1188" s="137">
        <f aca="true" t="shared" si="142" ref="N1188:N1209">M1188*150/180</f>
        <v>66.66666666666667</v>
      </c>
      <c r="P1188" s="15">
        <v>24</v>
      </c>
      <c r="Q1188" s="137">
        <f t="shared" si="141"/>
        <v>12</v>
      </c>
    </row>
    <row r="1189" spans="6:17" ht="19.5" thickBot="1">
      <c r="F1189" s="137">
        <f>F1188*150/180</f>
        <v>8.491666666666667</v>
      </c>
      <c r="G1189" s="137">
        <f>G1188*150/180</f>
        <v>4.5</v>
      </c>
      <c r="H1189" s="137">
        <f>H1188*150/180</f>
        <v>15.4</v>
      </c>
      <c r="I1189" s="137">
        <f>I1188*150/180</f>
        <v>154.16666666666666</v>
      </c>
      <c r="J1189" s="137">
        <f>J1188*150/180</f>
        <v>0.1416666666666667</v>
      </c>
      <c r="M1189" s="15">
        <v>94</v>
      </c>
      <c r="N1189" s="137">
        <f t="shared" si="142"/>
        <v>78.33333333333333</v>
      </c>
      <c r="P1189" s="15">
        <v>109</v>
      </c>
      <c r="Q1189" s="137">
        <f t="shared" si="141"/>
        <v>54.5</v>
      </c>
    </row>
    <row r="1190" spans="13:17" ht="19.5" thickBot="1">
      <c r="M1190" s="15">
        <v>78</v>
      </c>
      <c r="N1190" s="137">
        <f t="shared" si="142"/>
        <v>65</v>
      </c>
      <c r="P1190" s="15">
        <v>3</v>
      </c>
      <c r="Q1190" s="137">
        <f t="shared" si="141"/>
        <v>1.5</v>
      </c>
    </row>
    <row r="1191" spans="13:17" ht="19.5" thickBot="1">
      <c r="M1191" s="15">
        <v>52</v>
      </c>
      <c r="N1191" s="137">
        <f t="shared" si="142"/>
        <v>43.333333333333336</v>
      </c>
      <c r="P1191" s="15">
        <v>100</v>
      </c>
      <c r="Q1191" s="137">
        <f t="shared" si="141"/>
        <v>50</v>
      </c>
    </row>
    <row r="1192" spans="13:14" ht="19.5" thickBot="1">
      <c r="M1192" s="15">
        <v>40</v>
      </c>
      <c r="N1192" s="137">
        <f t="shared" si="142"/>
        <v>33.333333333333336</v>
      </c>
    </row>
    <row r="1193" spans="13:14" ht="19.5" thickBot="1">
      <c r="M1193" s="15">
        <v>10</v>
      </c>
      <c r="N1193" s="137">
        <f t="shared" si="142"/>
        <v>8.333333333333334</v>
      </c>
    </row>
    <row r="1194" spans="13:14" ht="19.5" thickBot="1">
      <c r="M1194" s="15"/>
      <c r="N1194" s="137">
        <f t="shared" si="142"/>
        <v>0</v>
      </c>
    </row>
    <row r="1195" spans="5:18" ht="19.5" thickBot="1">
      <c r="E1195" s="18">
        <v>22</v>
      </c>
      <c r="F1195" s="19">
        <v>19</v>
      </c>
      <c r="G1195" s="19">
        <v>1.9</v>
      </c>
      <c r="H1195" s="19">
        <v>267</v>
      </c>
      <c r="I1195" s="19">
        <v>0.1</v>
      </c>
      <c r="M1195" s="15">
        <v>26</v>
      </c>
      <c r="N1195" s="137">
        <f t="shared" si="142"/>
        <v>21.666666666666668</v>
      </c>
      <c r="Q1195" s="16">
        <v>62</v>
      </c>
      <c r="R1195" s="137">
        <f>Q1195*60/50</f>
        <v>74.4</v>
      </c>
    </row>
    <row r="1196" spans="5:18" ht="19.5" thickBot="1">
      <c r="E1196" s="137">
        <f>E1195/2</f>
        <v>11</v>
      </c>
      <c r="F1196" s="137">
        <f>F1195/2</f>
        <v>9.5</v>
      </c>
      <c r="G1196" s="137">
        <f>G1195/2</f>
        <v>0.95</v>
      </c>
      <c r="H1196" s="137">
        <f>H1195/2</f>
        <v>133.5</v>
      </c>
      <c r="I1196" s="137">
        <f>I1195/2</f>
        <v>0.05</v>
      </c>
      <c r="M1196" s="15">
        <v>26</v>
      </c>
      <c r="N1196" s="137">
        <f t="shared" si="142"/>
        <v>21.666666666666668</v>
      </c>
      <c r="Q1196" s="17">
        <v>76</v>
      </c>
      <c r="R1196" s="137">
        <f aca="true" t="shared" si="143" ref="R1196:R1202">Q1196*60/50</f>
        <v>91.2</v>
      </c>
    </row>
    <row r="1197" spans="5:18" ht="19.5" thickBot="1">
      <c r="E1197" s="137">
        <f>E1196*60/50</f>
        <v>13.2</v>
      </c>
      <c r="F1197" s="137">
        <f>F1196*60/50</f>
        <v>11.4</v>
      </c>
      <c r="G1197" s="137">
        <f>G1196*60/50</f>
        <v>1.14</v>
      </c>
      <c r="H1197" s="137">
        <f>H1196*60/50</f>
        <v>160.2</v>
      </c>
      <c r="I1197" s="137">
        <f>I1196*60/50</f>
        <v>0.06</v>
      </c>
      <c r="M1197" s="15">
        <v>2</v>
      </c>
      <c r="N1197" s="137">
        <f t="shared" si="142"/>
        <v>1.6666666666666667</v>
      </c>
      <c r="Q1197" s="17">
        <v>35</v>
      </c>
      <c r="R1197" s="137">
        <f t="shared" si="143"/>
        <v>42</v>
      </c>
    </row>
    <row r="1198" spans="13:18" ht="19.5" thickBot="1">
      <c r="M1198" s="15">
        <v>19</v>
      </c>
      <c r="N1198" s="137">
        <f t="shared" si="142"/>
        <v>15.833333333333334</v>
      </c>
      <c r="Q1198" s="17">
        <v>10</v>
      </c>
      <c r="R1198" s="137">
        <f t="shared" si="143"/>
        <v>12</v>
      </c>
    </row>
    <row r="1199" spans="13:18" ht="19.5" thickBot="1">
      <c r="M1199" s="15"/>
      <c r="N1199" s="137">
        <f t="shared" si="142"/>
        <v>0</v>
      </c>
      <c r="Q1199" s="17">
        <v>12</v>
      </c>
      <c r="R1199" s="137">
        <f t="shared" si="143"/>
        <v>14.4</v>
      </c>
    </row>
    <row r="1200" spans="13:18" ht="19.5" thickBot="1">
      <c r="M1200" s="15">
        <v>155</v>
      </c>
      <c r="N1200" s="137">
        <f t="shared" si="142"/>
        <v>129.16666666666666</v>
      </c>
      <c r="Q1200" s="17">
        <v>5</v>
      </c>
      <c r="R1200" s="137">
        <f t="shared" si="143"/>
        <v>6</v>
      </c>
    </row>
    <row r="1201" spans="13:18" ht="19.5" thickBot="1">
      <c r="M1201" s="15">
        <v>155</v>
      </c>
      <c r="N1201" s="137">
        <f t="shared" si="142"/>
        <v>129.16666666666666</v>
      </c>
      <c r="Q1201" s="17">
        <v>1.5</v>
      </c>
      <c r="R1201" s="137">
        <f t="shared" si="143"/>
        <v>1.8</v>
      </c>
    </row>
    <row r="1202" spans="8:18" ht="19.5" thickBot="1">
      <c r="H1202" s="16">
        <v>1000</v>
      </c>
      <c r="I1202" s="137">
        <f>H1202*12/1000</f>
        <v>12</v>
      </c>
      <c r="J1202" s="16">
        <v>12</v>
      </c>
      <c r="K1202" s="137">
        <f>J1202*25/12</f>
        <v>25</v>
      </c>
      <c r="M1202" s="15">
        <v>155</v>
      </c>
      <c r="N1202" s="137">
        <f t="shared" si="142"/>
        <v>129.16666666666666</v>
      </c>
      <c r="Q1202" s="17">
        <v>50</v>
      </c>
      <c r="R1202" s="137">
        <f t="shared" si="143"/>
        <v>60</v>
      </c>
    </row>
    <row r="1203" spans="8:14" ht="19.5" thickBot="1">
      <c r="H1203" s="17">
        <v>80</v>
      </c>
      <c r="I1203" s="137">
        <f>H1203*12/1000</f>
        <v>0.96</v>
      </c>
      <c r="J1203" s="17">
        <v>1</v>
      </c>
      <c r="K1203" s="137">
        <f>J1203*25/12</f>
        <v>2.0833333333333335</v>
      </c>
      <c r="M1203" s="15">
        <v>155</v>
      </c>
      <c r="N1203" s="137">
        <f t="shared" si="142"/>
        <v>129.16666666666666</v>
      </c>
    </row>
    <row r="1204" spans="8:14" ht="19.5" thickBot="1">
      <c r="H1204" s="17">
        <v>80</v>
      </c>
      <c r="I1204" s="137">
        <f>H1204*12/1000</f>
        <v>0.96</v>
      </c>
      <c r="J1204" s="17">
        <v>1</v>
      </c>
      <c r="K1204" s="137">
        <f>J1204*25/12</f>
        <v>2.0833333333333335</v>
      </c>
      <c r="M1204" s="15">
        <v>150</v>
      </c>
      <c r="N1204" s="137">
        <f t="shared" si="142"/>
        <v>125</v>
      </c>
    </row>
    <row r="1205" spans="13:14" ht="19.5" thickBot="1">
      <c r="M1205" s="15">
        <v>2</v>
      </c>
      <c r="N1205" s="137">
        <f t="shared" si="142"/>
        <v>1.6666666666666667</v>
      </c>
    </row>
    <row r="1206" spans="13:14" ht="19.5" thickBot="1">
      <c r="M1206" s="15">
        <v>4</v>
      </c>
      <c r="N1206" s="137">
        <f t="shared" si="142"/>
        <v>3.3333333333333335</v>
      </c>
    </row>
    <row r="1207" spans="13:14" ht="19.5" thickBot="1">
      <c r="M1207" s="15">
        <v>212</v>
      </c>
      <c r="N1207" s="137">
        <f t="shared" si="142"/>
        <v>176.66666666666666</v>
      </c>
    </row>
    <row r="1208" spans="13:14" ht="19.5" thickBot="1">
      <c r="M1208" s="15">
        <v>180</v>
      </c>
      <c r="N1208" s="137">
        <f t="shared" si="142"/>
        <v>150</v>
      </c>
    </row>
    <row r="1209" spans="13:14" ht="18.75">
      <c r="M1209" s="137">
        <v>3</v>
      </c>
      <c r="N1209" s="137">
        <f t="shared" si="142"/>
        <v>2.5</v>
      </c>
    </row>
    <row r="1215" ht="19.5" thickBot="1"/>
    <row r="1216" spans="7:18" ht="19.5" thickBot="1">
      <c r="G1216" s="16">
        <v>89</v>
      </c>
      <c r="H1216" s="137">
        <f>G1216*100/140</f>
        <v>63.57142857142857</v>
      </c>
      <c r="M1216" s="16">
        <v>69</v>
      </c>
      <c r="N1216" s="137">
        <f>M1216*180/150</f>
        <v>82.8</v>
      </c>
      <c r="Q1216" s="16">
        <v>23</v>
      </c>
      <c r="R1216" s="137">
        <f>Q1216*180/70</f>
        <v>59.142857142857146</v>
      </c>
    </row>
    <row r="1217" spans="7:18" ht="19.5" thickBot="1">
      <c r="G1217" s="17">
        <v>109</v>
      </c>
      <c r="H1217" s="137">
        <f aca="true" t="shared" si="144" ref="H1217:H1230">G1217*100/140</f>
        <v>77.85714285714286</v>
      </c>
      <c r="M1217" s="17">
        <v>103</v>
      </c>
      <c r="N1217" s="137">
        <f>M1217*180/150</f>
        <v>123.6</v>
      </c>
      <c r="Q1217" s="17">
        <v>54</v>
      </c>
      <c r="R1217" s="137">
        <f>Q1217*180/70</f>
        <v>138.85714285714286</v>
      </c>
    </row>
    <row r="1218" spans="7:14" ht="19.5" thickBot="1">
      <c r="G1218" s="17">
        <v>4</v>
      </c>
      <c r="H1218" s="137">
        <f t="shared" si="144"/>
        <v>2.857142857142857</v>
      </c>
      <c r="M1218" s="17">
        <v>145</v>
      </c>
      <c r="N1218" s="137">
        <f>M1218*180/150</f>
        <v>174</v>
      </c>
    </row>
    <row r="1219" spans="7:14" ht="19.5" thickBot="1">
      <c r="G1219" s="17">
        <v>50</v>
      </c>
      <c r="H1219" s="137">
        <f t="shared" si="144"/>
        <v>35.714285714285715</v>
      </c>
      <c r="M1219" s="17">
        <v>5</v>
      </c>
      <c r="N1219" s="137">
        <f>M1219*180/150</f>
        <v>6</v>
      </c>
    </row>
    <row r="1220" spans="7:14" ht="19.5" thickBot="1">
      <c r="G1220" s="17">
        <v>35</v>
      </c>
      <c r="H1220" s="137">
        <f t="shared" si="144"/>
        <v>25</v>
      </c>
      <c r="K1220" s="16">
        <v>51</v>
      </c>
      <c r="L1220" s="137">
        <f>K1220*70/150</f>
        <v>23.8</v>
      </c>
      <c r="M1220" s="17">
        <v>150</v>
      </c>
      <c r="N1220" s="137">
        <f>M1220*180/150</f>
        <v>180</v>
      </c>
    </row>
    <row r="1221" spans="7:12" ht="19.5" thickBot="1">
      <c r="G1221" s="17">
        <v>100</v>
      </c>
      <c r="H1221" s="137">
        <f t="shared" si="144"/>
        <v>71.42857142857143</v>
      </c>
      <c r="K1221" s="17">
        <v>306</v>
      </c>
      <c r="L1221" s="137">
        <f>K1221*70/150</f>
        <v>142.8</v>
      </c>
    </row>
    <row r="1222" spans="7:19" ht="19.5" thickBot="1">
      <c r="G1222" s="17">
        <v>10</v>
      </c>
      <c r="H1222" s="137">
        <f t="shared" si="144"/>
        <v>7.142857142857143</v>
      </c>
      <c r="K1222" s="17">
        <v>146</v>
      </c>
      <c r="L1222" s="137">
        <f>K1222*70/150</f>
        <v>68.13333333333334</v>
      </c>
      <c r="O1222" s="18">
        <v>5.21</v>
      </c>
      <c r="P1222" s="19">
        <v>4.59</v>
      </c>
      <c r="Q1222" s="19">
        <v>32.03</v>
      </c>
      <c r="R1222" s="19">
        <v>186</v>
      </c>
      <c r="S1222" s="19">
        <v>0</v>
      </c>
    </row>
    <row r="1223" spans="7:19" ht="19.5" thickBot="1">
      <c r="G1223" s="17">
        <v>2</v>
      </c>
      <c r="H1223" s="137">
        <f t="shared" si="144"/>
        <v>1.4285714285714286</v>
      </c>
      <c r="K1223" s="17">
        <v>4</v>
      </c>
      <c r="L1223" s="137">
        <f>K1223*70/150</f>
        <v>1.8666666666666667</v>
      </c>
      <c r="O1223" s="137">
        <f>O1222*70/150</f>
        <v>2.4313333333333333</v>
      </c>
      <c r="P1223" s="137">
        <f>P1222*70/150</f>
        <v>2.142</v>
      </c>
      <c r="Q1223" s="137">
        <f>Q1222*70/150</f>
        <v>14.947333333333333</v>
      </c>
      <c r="R1223" s="137">
        <f>R1222*70/150</f>
        <v>86.8</v>
      </c>
      <c r="S1223" s="137">
        <f>S1222*70/150</f>
        <v>0</v>
      </c>
    </row>
    <row r="1224" spans="7:12" ht="19.5" thickBot="1">
      <c r="G1224" s="17">
        <v>5</v>
      </c>
      <c r="H1224" s="137">
        <f t="shared" si="144"/>
        <v>3.5714285714285716</v>
      </c>
      <c r="K1224" s="17">
        <v>150</v>
      </c>
      <c r="L1224" s="137">
        <f>K1224*70/150</f>
        <v>70</v>
      </c>
    </row>
    <row r="1225" spans="7:8" ht="19.5" thickBot="1">
      <c r="G1225" s="17">
        <v>5</v>
      </c>
      <c r="H1225" s="137">
        <f t="shared" si="144"/>
        <v>3.5714285714285716</v>
      </c>
    </row>
    <row r="1226" spans="7:8" ht="19.5" thickBot="1">
      <c r="G1226" s="17">
        <v>2</v>
      </c>
      <c r="H1226" s="137">
        <f t="shared" si="144"/>
        <v>1.4285714285714286</v>
      </c>
    </row>
    <row r="1227" spans="7:8" ht="19.5" thickBot="1">
      <c r="G1227" s="17">
        <v>3</v>
      </c>
      <c r="H1227" s="137">
        <f t="shared" si="144"/>
        <v>2.142857142857143</v>
      </c>
    </row>
    <row r="1228" spans="7:8" ht="19.5" thickBot="1">
      <c r="G1228" s="17">
        <v>164</v>
      </c>
      <c r="H1228" s="137">
        <f t="shared" si="144"/>
        <v>117.14285714285714</v>
      </c>
    </row>
    <row r="1229" spans="7:8" ht="19.5" thickBot="1">
      <c r="G1229" s="17">
        <v>140</v>
      </c>
      <c r="H1229" s="137">
        <f t="shared" si="144"/>
        <v>100</v>
      </c>
    </row>
    <row r="1230" spans="7:8" ht="19.5" thickBot="1">
      <c r="G1230" s="17">
        <v>3</v>
      </c>
      <c r="H1230" s="137">
        <f t="shared" si="144"/>
        <v>2.142857142857143</v>
      </c>
    </row>
    <row r="1234" ht="19.5" thickBot="1"/>
    <row r="1235" spans="10:15" ht="19.5" thickBot="1">
      <c r="J1235" s="16">
        <v>89</v>
      </c>
      <c r="K1235" s="137">
        <f>J1235*120/140</f>
        <v>76.28571428571429</v>
      </c>
      <c r="N1235" s="16">
        <v>63</v>
      </c>
      <c r="O1235" s="137">
        <f>N1235*127/100</f>
        <v>80.01</v>
      </c>
    </row>
    <row r="1236" spans="10:15" ht="19.5" thickBot="1">
      <c r="J1236" s="17">
        <v>109</v>
      </c>
      <c r="K1236" s="137">
        <f aca="true" t="shared" si="145" ref="K1236:K1248">J1236*120/140</f>
        <v>93.42857142857143</v>
      </c>
      <c r="N1236" s="17">
        <v>38</v>
      </c>
      <c r="O1236" s="137">
        <f aca="true" t="shared" si="146" ref="O1236:O1242">N1236*127/100</f>
        <v>48.26</v>
      </c>
    </row>
    <row r="1237" spans="10:15" ht="19.5" thickBot="1">
      <c r="J1237" s="17">
        <v>4</v>
      </c>
      <c r="K1237" s="137">
        <f t="shared" si="145"/>
        <v>3.4285714285714284</v>
      </c>
      <c r="N1237" s="17">
        <v>100</v>
      </c>
      <c r="O1237" s="137">
        <f t="shared" si="146"/>
        <v>127</v>
      </c>
    </row>
    <row r="1238" spans="10:15" ht="19.5" thickBot="1">
      <c r="J1238" s="17">
        <v>50</v>
      </c>
      <c r="K1238" s="137">
        <f t="shared" si="145"/>
        <v>42.857142857142854</v>
      </c>
      <c r="N1238" s="17">
        <v>1.5</v>
      </c>
      <c r="O1238" s="137">
        <f t="shared" si="146"/>
        <v>1.905</v>
      </c>
    </row>
    <row r="1239" spans="10:15" ht="19.5" thickBot="1">
      <c r="J1239" s="17">
        <v>35</v>
      </c>
      <c r="K1239" s="137">
        <f t="shared" si="145"/>
        <v>30</v>
      </c>
      <c r="N1239" s="17">
        <v>98</v>
      </c>
      <c r="O1239" s="137">
        <f t="shared" si="146"/>
        <v>124.46</v>
      </c>
    </row>
    <row r="1240" spans="10:15" ht="19.5" thickBot="1">
      <c r="J1240" s="17">
        <v>100</v>
      </c>
      <c r="K1240" s="137">
        <f t="shared" si="145"/>
        <v>85.71428571428571</v>
      </c>
      <c r="N1240" s="17">
        <v>2</v>
      </c>
      <c r="O1240" s="137">
        <f t="shared" si="146"/>
        <v>2.54</v>
      </c>
    </row>
    <row r="1241" spans="10:15" ht="19.5" thickBot="1">
      <c r="J1241" s="17">
        <v>10</v>
      </c>
      <c r="K1241" s="137">
        <f t="shared" si="145"/>
        <v>8.571428571428571</v>
      </c>
      <c r="N1241" s="17">
        <v>100</v>
      </c>
      <c r="O1241" s="137">
        <f t="shared" si="146"/>
        <v>127</v>
      </c>
    </row>
    <row r="1242" spans="10:15" ht="19.5" thickBot="1">
      <c r="J1242" s="17">
        <v>2</v>
      </c>
      <c r="K1242" s="137">
        <f t="shared" si="145"/>
        <v>1.7142857142857142</v>
      </c>
      <c r="O1242" s="137">
        <f t="shared" si="146"/>
        <v>0</v>
      </c>
    </row>
    <row r="1243" spans="10:11" ht="19.5" thickBot="1">
      <c r="J1243" s="17">
        <v>5</v>
      </c>
      <c r="K1243" s="137">
        <f t="shared" si="145"/>
        <v>4.285714285714286</v>
      </c>
    </row>
    <row r="1244" spans="10:11" ht="19.5" thickBot="1">
      <c r="J1244" s="17">
        <v>5</v>
      </c>
      <c r="K1244" s="137">
        <f t="shared" si="145"/>
        <v>4.285714285714286</v>
      </c>
    </row>
    <row r="1245" spans="10:11" ht="19.5" thickBot="1">
      <c r="J1245" s="17">
        <v>2</v>
      </c>
      <c r="K1245" s="137">
        <f t="shared" si="145"/>
        <v>1.7142857142857142</v>
      </c>
    </row>
    <row r="1246" spans="10:11" ht="19.5" thickBot="1">
      <c r="J1246" s="17">
        <v>3</v>
      </c>
      <c r="K1246" s="137">
        <f t="shared" si="145"/>
        <v>2.5714285714285716</v>
      </c>
    </row>
    <row r="1247" spans="10:11" ht="19.5" thickBot="1">
      <c r="J1247" s="17">
        <v>164</v>
      </c>
      <c r="K1247" s="137">
        <f t="shared" si="145"/>
        <v>140.57142857142858</v>
      </c>
    </row>
    <row r="1248" spans="10:11" ht="19.5" thickBot="1">
      <c r="J1248" s="17">
        <v>140</v>
      </c>
      <c r="K1248" s="137">
        <f t="shared" si="145"/>
        <v>120</v>
      </c>
    </row>
    <row r="1249" ht="19.5" thickBot="1"/>
    <row r="1250" spans="14:18" ht="19.5" thickBot="1">
      <c r="N1250" s="16">
        <v>80</v>
      </c>
      <c r="O1250" s="137">
        <f>N1250*130/90</f>
        <v>115.55555555555556</v>
      </c>
      <c r="Q1250" s="137">
        <v>83</v>
      </c>
      <c r="R1250" s="137">
        <f>Q1250*65/55</f>
        <v>98.0909090909091</v>
      </c>
    </row>
    <row r="1251" spans="14:18" ht="19.5" thickBot="1">
      <c r="N1251" s="17">
        <v>3</v>
      </c>
      <c r="O1251" s="137">
        <f aca="true" t="shared" si="147" ref="O1251:O1257">N1251*130/90</f>
        <v>4.333333333333333</v>
      </c>
      <c r="Q1251" s="137">
        <v>4</v>
      </c>
      <c r="R1251" s="137">
        <f>Q1251*65/55</f>
        <v>4.7272727272727275</v>
      </c>
    </row>
    <row r="1252" spans="14:18" ht="19.5" thickBot="1">
      <c r="N1252" s="17">
        <v>9</v>
      </c>
      <c r="O1252" s="137">
        <f t="shared" si="147"/>
        <v>13</v>
      </c>
      <c r="Q1252" s="137">
        <v>55</v>
      </c>
      <c r="R1252" s="137">
        <f>Q1252*65/55</f>
        <v>65</v>
      </c>
    </row>
    <row r="1253" spans="14:15" ht="19.5" thickBot="1">
      <c r="N1253" s="17">
        <v>12</v>
      </c>
      <c r="O1253" s="137">
        <f t="shared" si="147"/>
        <v>17.333333333333332</v>
      </c>
    </row>
    <row r="1254" spans="9:15" ht="19.5" thickBot="1">
      <c r="I1254" s="16">
        <v>60</v>
      </c>
      <c r="J1254" s="137">
        <f>I1254*55/40</f>
        <v>82.5</v>
      </c>
      <c r="N1254" s="17">
        <v>102</v>
      </c>
      <c r="O1254" s="137">
        <f t="shared" si="147"/>
        <v>147.33333333333334</v>
      </c>
    </row>
    <row r="1255" spans="9:15" ht="19.5" thickBot="1">
      <c r="I1255" s="17">
        <v>3</v>
      </c>
      <c r="J1255" s="137">
        <f>I1255*55/40</f>
        <v>4.125</v>
      </c>
      <c r="N1255" s="17">
        <v>2</v>
      </c>
      <c r="O1255" s="137">
        <f t="shared" si="147"/>
        <v>2.888888888888889</v>
      </c>
    </row>
    <row r="1256" spans="9:15" ht="19.5" thickBot="1">
      <c r="I1256" s="17">
        <v>40</v>
      </c>
      <c r="J1256" s="137">
        <f>I1256*55/40</f>
        <v>55</v>
      </c>
      <c r="N1256" s="17">
        <v>90</v>
      </c>
      <c r="O1256" s="137">
        <f t="shared" si="147"/>
        <v>130</v>
      </c>
    </row>
    <row r="1257" spans="14:15" ht="19.5" thickBot="1">
      <c r="N1257" s="15">
        <v>30</v>
      </c>
      <c r="O1257" s="137">
        <f t="shared" si="147"/>
        <v>43.333333333333336</v>
      </c>
    </row>
    <row r="1263" ht="19.5" thickBot="1"/>
    <row r="1264" spans="14:15" ht="19.5" thickBot="1">
      <c r="N1264" s="16">
        <v>81</v>
      </c>
      <c r="O1264" s="137">
        <f>N1264*100/75</f>
        <v>108</v>
      </c>
    </row>
    <row r="1265" spans="14:15" ht="19.5" thickBot="1">
      <c r="N1265" s="17">
        <v>85</v>
      </c>
      <c r="O1265" s="137">
        <f aca="true" t="shared" si="148" ref="O1265:O1276">N1265*100/75</f>
        <v>113.33333333333333</v>
      </c>
    </row>
    <row r="1266" spans="7:15" ht="19.5" thickBot="1">
      <c r="G1266" s="16">
        <v>105</v>
      </c>
      <c r="H1266" s="137">
        <f>G1266*75/125</f>
        <v>63</v>
      </c>
      <c r="K1266" s="16">
        <v>250</v>
      </c>
      <c r="L1266" s="137">
        <f>K1266*15/1000</f>
        <v>3.75</v>
      </c>
      <c r="N1266" s="17">
        <v>63</v>
      </c>
      <c r="O1266" s="137">
        <f t="shared" si="148"/>
        <v>84</v>
      </c>
    </row>
    <row r="1267" spans="7:15" ht="19.5" thickBot="1">
      <c r="G1267" s="17">
        <v>25</v>
      </c>
      <c r="H1267" s="137">
        <f>G1267*75/125</f>
        <v>15</v>
      </c>
      <c r="K1267" s="17">
        <v>75</v>
      </c>
      <c r="L1267" s="137">
        <f>K1267*15/1000</f>
        <v>1.125</v>
      </c>
      <c r="N1267" s="17">
        <v>15</v>
      </c>
      <c r="O1267" s="137">
        <f t="shared" si="148"/>
        <v>20</v>
      </c>
    </row>
    <row r="1268" spans="7:15" ht="19.5" thickBot="1">
      <c r="G1268" s="17">
        <v>5</v>
      </c>
      <c r="H1268" s="137">
        <f>G1268*75/125</f>
        <v>3</v>
      </c>
      <c r="K1268" s="17">
        <v>750</v>
      </c>
      <c r="L1268" s="137">
        <f>K1268*15/1000</f>
        <v>11.25</v>
      </c>
      <c r="N1268" s="17">
        <v>3</v>
      </c>
      <c r="O1268" s="137">
        <f t="shared" si="148"/>
        <v>4</v>
      </c>
    </row>
    <row r="1269" spans="7:15" ht="19.5" thickBot="1">
      <c r="G1269" s="17">
        <v>12.5</v>
      </c>
      <c r="H1269" s="137">
        <f>G1269*75/125</f>
        <v>7.5</v>
      </c>
      <c r="K1269" s="17">
        <v>750</v>
      </c>
      <c r="L1269" s="137">
        <f>K1269*15/1000</f>
        <v>11.25</v>
      </c>
      <c r="N1269" s="17">
        <v>8</v>
      </c>
      <c r="O1269" s="137">
        <f t="shared" si="148"/>
        <v>10.666666666666666</v>
      </c>
    </row>
    <row r="1270" spans="7:15" ht="19.5" thickBot="1">
      <c r="G1270" s="17">
        <v>25</v>
      </c>
      <c r="H1270" s="137">
        <f>G1270*75/125</f>
        <v>15</v>
      </c>
      <c r="N1270" s="17">
        <v>15</v>
      </c>
      <c r="O1270" s="137">
        <f t="shared" si="148"/>
        <v>20</v>
      </c>
    </row>
    <row r="1271" spans="14:15" ht="19.5" thickBot="1">
      <c r="N1271" s="17">
        <v>4</v>
      </c>
      <c r="O1271" s="137">
        <f t="shared" si="148"/>
        <v>5.333333333333333</v>
      </c>
    </row>
    <row r="1272" spans="14:15" ht="19.5" thickBot="1">
      <c r="N1272" s="17">
        <v>1</v>
      </c>
      <c r="O1272" s="137">
        <f t="shared" si="148"/>
        <v>1.3333333333333333</v>
      </c>
    </row>
    <row r="1273" spans="14:15" ht="19.5" thickBot="1">
      <c r="N1273" s="17">
        <v>1</v>
      </c>
      <c r="O1273" s="137">
        <f t="shared" si="148"/>
        <v>1.3333333333333333</v>
      </c>
    </row>
    <row r="1274" spans="14:15" ht="19.5" thickBot="1">
      <c r="N1274" s="17">
        <v>11</v>
      </c>
      <c r="O1274" s="137">
        <f t="shared" si="148"/>
        <v>14.666666666666666</v>
      </c>
    </row>
    <row r="1275" spans="14:15" ht="19.5" thickBot="1">
      <c r="N1275" s="17">
        <v>11</v>
      </c>
      <c r="O1275" s="137">
        <f t="shared" si="148"/>
        <v>14.666666666666666</v>
      </c>
    </row>
    <row r="1276" spans="14:15" ht="19.5" thickBot="1">
      <c r="N1276" s="17">
        <v>75</v>
      </c>
      <c r="O1276" s="137">
        <f t="shared" si="148"/>
        <v>100</v>
      </c>
    </row>
    <row r="1277" spans="7:11" ht="18.75">
      <c r="G1277" s="137">
        <v>4.35</v>
      </c>
      <c r="H1277" s="137">
        <v>3.75</v>
      </c>
      <c r="I1277" s="137">
        <v>7.2</v>
      </c>
      <c r="J1277" s="137">
        <v>81</v>
      </c>
      <c r="K1277" s="137">
        <v>1.95</v>
      </c>
    </row>
    <row r="1278" spans="7:11" ht="18.75">
      <c r="G1278" s="137">
        <f>G1277*150/142</f>
        <v>4.595070422535211</v>
      </c>
      <c r="H1278" s="137">
        <f>H1277*150/142</f>
        <v>3.961267605633803</v>
      </c>
      <c r="I1278" s="137">
        <f>I1277*150/142</f>
        <v>7.605633802816901</v>
      </c>
      <c r="J1278" s="137">
        <f>J1277*150/142</f>
        <v>85.56338028169014</v>
      </c>
      <c r="K1278" s="137">
        <f>K1277*150/142</f>
        <v>2.0598591549295775</v>
      </c>
    </row>
    <row r="1279" spans="7:11" ht="18.75">
      <c r="G1279" s="137">
        <f>G1278*180/150</f>
        <v>5.514084507042253</v>
      </c>
      <c r="H1279" s="137">
        <f>H1278*180/150</f>
        <v>4.753521126760563</v>
      </c>
      <c r="I1279" s="137">
        <f>I1278*180/150</f>
        <v>9.126760563380282</v>
      </c>
      <c r="J1279" s="137">
        <f>J1278*180/150</f>
        <v>102.67605633802818</v>
      </c>
      <c r="K1279" s="137">
        <f>K1278*180/150</f>
        <v>2.471830985915493</v>
      </c>
    </row>
    <row r="1280" ht="19.5" thickBot="1"/>
    <row r="1281" spans="14:15" ht="19.5" thickBot="1">
      <c r="N1281" s="14">
        <v>41</v>
      </c>
      <c r="O1281" s="137">
        <f>N1281*150/180</f>
        <v>34.166666666666664</v>
      </c>
    </row>
    <row r="1282" spans="14:15" ht="19.5" thickBot="1">
      <c r="N1282" s="15">
        <v>42</v>
      </c>
      <c r="O1282" s="137">
        <f>N1282*150/180</f>
        <v>35</v>
      </c>
    </row>
    <row r="1283" spans="14:15" ht="19.5" thickBot="1">
      <c r="N1283" s="15">
        <v>12</v>
      </c>
      <c r="O1283" s="137">
        <f>N1283*150/180</f>
        <v>10</v>
      </c>
    </row>
    <row r="1284" spans="14:15" ht="19.5" thickBot="1">
      <c r="N1284" s="17">
        <v>153</v>
      </c>
      <c r="O1284" s="137">
        <f>N1284*150/180</f>
        <v>127.5</v>
      </c>
    </row>
    <row r="1285" spans="7:15" ht="19.5" thickBot="1">
      <c r="G1285" s="14">
        <v>170</v>
      </c>
      <c r="H1285" s="137">
        <f>G1285*70/60</f>
        <v>198.33333333333334</v>
      </c>
      <c r="N1285" s="17">
        <v>180</v>
      </c>
      <c r="O1285" s="137">
        <f>N1285*150/180</f>
        <v>150</v>
      </c>
    </row>
    <row r="1286" spans="7:11" ht="19.5" thickBot="1">
      <c r="G1286" s="15">
        <v>170</v>
      </c>
      <c r="H1286" s="137">
        <f aca="true" t="shared" si="149" ref="H1286:H1294">G1286*70/60</f>
        <v>198.33333333333334</v>
      </c>
      <c r="J1286" s="14">
        <v>96</v>
      </c>
      <c r="K1286" s="137">
        <f>J1286*90/70</f>
        <v>123.42857142857143</v>
      </c>
    </row>
    <row r="1287" spans="7:11" ht="19.5" thickBot="1">
      <c r="G1287" s="15">
        <v>162</v>
      </c>
      <c r="H1287" s="137">
        <f t="shared" si="149"/>
        <v>189</v>
      </c>
      <c r="J1287" s="15">
        <v>119</v>
      </c>
      <c r="K1287" s="137">
        <f aca="true" t="shared" si="150" ref="K1287:K1299">J1287*90/70</f>
        <v>153</v>
      </c>
    </row>
    <row r="1288" spans="7:11" ht="19.5" thickBot="1">
      <c r="G1288" s="15">
        <v>80</v>
      </c>
      <c r="H1288" s="137">
        <f t="shared" si="149"/>
        <v>93.33333333333333</v>
      </c>
      <c r="J1288" s="15"/>
      <c r="K1288" s="137">
        <f t="shared" si="150"/>
        <v>0</v>
      </c>
    </row>
    <row r="1289" spans="7:15" ht="19.5" thickBot="1">
      <c r="G1289" s="15">
        <v>1.6</v>
      </c>
      <c r="H1289" s="137">
        <f t="shared" si="149"/>
        <v>1.8666666666666667</v>
      </c>
      <c r="J1289" s="15">
        <v>12</v>
      </c>
      <c r="K1289" s="137">
        <f t="shared" si="150"/>
        <v>15.428571428571429</v>
      </c>
      <c r="N1289" s="16">
        <v>55</v>
      </c>
      <c r="O1289" s="137">
        <f>N1289*75/115</f>
        <v>35.869565217391305</v>
      </c>
    </row>
    <row r="1290" spans="7:15" ht="19.5" thickBot="1">
      <c r="G1290" s="15"/>
      <c r="H1290" s="137">
        <f t="shared" si="149"/>
        <v>0</v>
      </c>
      <c r="J1290" s="15">
        <v>12</v>
      </c>
      <c r="K1290" s="137">
        <f t="shared" si="150"/>
        <v>15.428571428571429</v>
      </c>
      <c r="N1290" s="17">
        <v>4</v>
      </c>
      <c r="O1290" s="137">
        <f>N1290*75/115</f>
        <v>2.608695652173913</v>
      </c>
    </row>
    <row r="1291" spans="7:15" ht="19.5" thickBot="1">
      <c r="G1291" s="15">
        <v>2</v>
      </c>
      <c r="H1291" s="137">
        <f t="shared" si="149"/>
        <v>2.3333333333333335</v>
      </c>
      <c r="J1291" s="15">
        <v>2</v>
      </c>
      <c r="K1291" s="137">
        <f t="shared" si="150"/>
        <v>2.5714285714285716</v>
      </c>
      <c r="N1291" s="17">
        <v>115</v>
      </c>
      <c r="O1291" s="137">
        <f>N1291*75/115</f>
        <v>75</v>
      </c>
    </row>
    <row r="1292" spans="7:11" ht="19.5" thickBot="1">
      <c r="G1292" s="15">
        <v>2</v>
      </c>
      <c r="H1292" s="137">
        <f t="shared" si="149"/>
        <v>2.3333333333333335</v>
      </c>
      <c r="J1292" s="15">
        <v>54</v>
      </c>
      <c r="K1292" s="137">
        <f t="shared" si="150"/>
        <v>69.42857142857143</v>
      </c>
    </row>
    <row r="1293" spans="7:17" ht="19.5" thickBot="1">
      <c r="G1293" s="15">
        <v>60</v>
      </c>
      <c r="H1293" s="137">
        <f t="shared" si="149"/>
        <v>70</v>
      </c>
      <c r="J1293" s="15"/>
      <c r="K1293" s="137">
        <f t="shared" si="150"/>
        <v>0</v>
      </c>
      <c r="P1293" s="16">
        <v>111</v>
      </c>
      <c r="Q1293" s="137">
        <f>P1293*150/130</f>
        <v>128.07692307692307</v>
      </c>
    </row>
    <row r="1294" spans="7:17" ht="19.5" thickBot="1">
      <c r="G1294" s="15">
        <v>60</v>
      </c>
      <c r="H1294" s="137">
        <f t="shared" si="149"/>
        <v>70</v>
      </c>
      <c r="J1294" s="15">
        <v>1</v>
      </c>
      <c r="K1294" s="137">
        <f t="shared" si="150"/>
        <v>1.2857142857142858</v>
      </c>
      <c r="M1294" s="14">
        <v>136</v>
      </c>
      <c r="N1294" s="137">
        <f>M1294*130/120</f>
        <v>147.33333333333334</v>
      </c>
      <c r="P1294" s="17">
        <v>111</v>
      </c>
      <c r="Q1294" s="137">
        <f aca="true" t="shared" si="151" ref="Q1294:Q1300">P1294*150/130</f>
        <v>128.07692307692307</v>
      </c>
    </row>
    <row r="1295" spans="10:17" ht="19.5" thickBot="1">
      <c r="J1295" s="15">
        <v>0.6</v>
      </c>
      <c r="K1295" s="137">
        <f t="shared" si="150"/>
        <v>0.7714285714285715</v>
      </c>
      <c r="M1295" s="15">
        <v>146</v>
      </c>
      <c r="N1295" s="137">
        <f aca="true" t="shared" si="152" ref="N1295:N1301">M1295*130/120</f>
        <v>158.16666666666666</v>
      </c>
      <c r="P1295" s="17">
        <v>111</v>
      </c>
      <c r="Q1295" s="137">
        <f t="shared" si="151"/>
        <v>128.07692307692307</v>
      </c>
    </row>
    <row r="1296" spans="10:17" ht="19.5" thickBot="1">
      <c r="J1296" s="15">
        <v>8</v>
      </c>
      <c r="K1296" s="137">
        <f t="shared" si="150"/>
        <v>10.285714285714286</v>
      </c>
      <c r="M1296" s="15">
        <v>157</v>
      </c>
      <c r="N1296" s="137">
        <f t="shared" si="152"/>
        <v>170.08333333333334</v>
      </c>
      <c r="P1296" s="17">
        <v>111</v>
      </c>
      <c r="Q1296" s="137">
        <f t="shared" si="151"/>
        <v>128.07692307692307</v>
      </c>
    </row>
    <row r="1297" spans="10:17" ht="19.5" thickBot="1">
      <c r="J1297" s="15">
        <v>8</v>
      </c>
      <c r="K1297" s="137">
        <f t="shared" si="150"/>
        <v>10.285714285714286</v>
      </c>
      <c r="M1297" s="15">
        <v>170</v>
      </c>
      <c r="N1297" s="137">
        <f t="shared" si="152"/>
        <v>184.16666666666666</v>
      </c>
      <c r="P1297" s="17">
        <v>21</v>
      </c>
      <c r="Q1297" s="137">
        <f t="shared" si="151"/>
        <v>24.23076923076923</v>
      </c>
    </row>
    <row r="1298" spans="10:17" ht="19.5" thickBot="1">
      <c r="J1298" s="15">
        <v>8</v>
      </c>
      <c r="K1298" s="137">
        <f t="shared" si="150"/>
        <v>10.285714285714286</v>
      </c>
      <c r="M1298" s="15">
        <v>19</v>
      </c>
      <c r="N1298" s="137">
        <f t="shared" si="152"/>
        <v>20.583333333333332</v>
      </c>
      <c r="P1298" s="17">
        <v>20</v>
      </c>
      <c r="Q1298" s="137">
        <f t="shared" si="151"/>
        <v>23.076923076923077</v>
      </c>
    </row>
    <row r="1299" spans="10:17" ht="19.5" thickBot="1">
      <c r="J1299" s="15">
        <v>16</v>
      </c>
      <c r="K1299" s="137">
        <f t="shared" si="150"/>
        <v>20.571428571428573</v>
      </c>
      <c r="M1299" s="15"/>
      <c r="N1299" s="137">
        <f t="shared" si="152"/>
        <v>0</v>
      </c>
      <c r="P1299" s="17">
        <v>5</v>
      </c>
      <c r="Q1299" s="137">
        <f t="shared" si="151"/>
        <v>5.769230769230769</v>
      </c>
    </row>
    <row r="1300" spans="10:17" ht="19.5" thickBot="1">
      <c r="J1300" s="15">
        <v>70</v>
      </c>
      <c r="K1300" s="137">
        <f>J1300*90/70</f>
        <v>90</v>
      </c>
      <c r="M1300" s="15">
        <v>4</v>
      </c>
      <c r="N1300" s="137">
        <f t="shared" si="152"/>
        <v>4.333333333333333</v>
      </c>
      <c r="P1300" s="17">
        <v>130</v>
      </c>
      <c r="Q1300" s="137">
        <f t="shared" si="151"/>
        <v>150</v>
      </c>
    </row>
    <row r="1301" spans="13:14" ht="19.5" thickBot="1">
      <c r="M1301" s="17">
        <v>120</v>
      </c>
      <c r="N1301" s="137">
        <f t="shared" si="152"/>
        <v>130</v>
      </c>
    </row>
    <row r="1305" ht="19.5" thickBot="1"/>
    <row r="1306" spans="14:15" ht="19.5" thickBot="1">
      <c r="N1306" s="16">
        <v>29</v>
      </c>
      <c r="O1306" s="137">
        <f>N1306*50/30</f>
        <v>48.333333333333336</v>
      </c>
    </row>
    <row r="1307" spans="10:15" ht="19.5" thickBot="1">
      <c r="J1307" s="16">
        <v>34</v>
      </c>
      <c r="K1307" s="137">
        <f>J1307*30/35</f>
        <v>29.142857142857142</v>
      </c>
      <c r="N1307" s="17">
        <v>31</v>
      </c>
      <c r="O1307" s="137">
        <f aca="true" t="shared" si="153" ref="O1307:O1313">N1307*50/30</f>
        <v>51.666666666666664</v>
      </c>
    </row>
    <row r="1308" spans="10:15" ht="19.5" thickBot="1">
      <c r="J1308" s="17">
        <v>36</v>
      </c>
      <c r="K1308" s="137">
        <f aca="true" t="shared" si="154" ref="K1308:K1314">J1308*30/35</f>
        <v>30.857142857142858</v>
      </c>
      <c r="N1308" s="17">
        <v>22</v>
      </c>
      <c r="O1308" s="137">
        <f t="shared" si="153"/>
        <v>36.666666666666664</v>
      </c>
    </row>
    <row r="1309" spans="10:15" ht="19.5" thickBot="1">
      <c r="J1309" s="17">
        <v>26</v>
      </c>
      <c r="K1309" s="137">
        <f t="shared" si="154"/>
        <v>22.285714285714285</v>
      </c>
      <c r="N1309" s="17">
        <v>5</v>
      </c>
      <c r="O1309" s="137">
        <f t="shared" si="153"/>
        <v>8.333333333333334</v>
      </c>
    </row>
    <row r="1310" spans="10:15" ht="19.5" thickBot="1">
      <c r="J1310" s="17">
        <v>6</v>
      </c>
      <c r="K1310" s="137">
        <f t="shared" si="154"/>
        <v>5.142857142857143</v>
      </c>
      <c r="N1310" s="17">
        <v>0.9</v>
      </c>
      <c r="O1310" s="137">
        <f t="shared" si="153"/>
        <v>1.5</v>
      </c>
    </row>
    <row r="1311" spans="10:15" ht="19.5" thickBot="1">
      <c r="J1311" s="17">
        <v>1</v>
      </c>
      <c r="K1311" s="137">
        <f t="shared" si="154"/>
        <v>0.8571428571428571</v>
      </c>
      <c r="N1311" s="17">
        <v>2.6</v>
      </c>
      <c r="O1311" s="137">
        <f t="shared" si="153"/>
        <v>4.333333333333333</v>
      </c>
    </row>
    <row r="1312" spans="10:15" ht="19.5" thickBot="1">
      <c r="J1312" s="17">
        <v>3</v>
      </c>
      <c r="K1312" s="137">
        <f t="shared" si="154"/>
        <v>2.5714285714285716</v>
      </c>
      <c r="N1312" s="17">
        <v>0.3</v>
      </c>
      <c r="O1312" s="137">
        <f t="shared" si="153"/>
        <v>0.5</v>
      </c>
    </row>
    <row r="1313" spans="10:15" ht="19.5" thickBot="1">
      <c r="J1313" s="17">
        <v>0.4</v>
      </c>
      <c r="K1313" s="137">
        <f t="shared" si="154"/>
        <v>0.34285714285714286</v>
      </c>
      <c r="N1313" s="17">
        <v>30</v>
      </c>
      <c r="O1313" s="137">
        <f t="shared" si="153"/>
        <v>50</v>
      </c>
    </row>
    <row r="1314" spans="10:11" ht="19.5" thickBot="1">
      <c r="J1314" s="17">
        <v>35</v>
      </c>
      <c r="K1314" s="137">
        <f t="shared" si="154"/>
        <v>30</v>
      </c>
    </row>
    <row r="1320" ht="19.5" thickBot="1"/>
    <row r="1321" spans="10:14" ht="19.5" thickBot="1">
      <c r="J1321" s="20">
        <v>0.54</v>
      </c>
      <c r="K1321" s="21">
        <v>2.85</v>
      </c>
      <c r="L1321" s="21">
        <v>3.23</v>
      </c>
      <c r="M1321" s="21">
        <v>40.83</v>
      </c>
      <c r="N1321" s="21">
        <v>1.28</v>
      </c>
    </row>
    <row r="1322" spans="10:14" ht="18.75">
      <c r="J1322" s="137">
        <f>J1321*30/35</f>
        <v>0.4628571428571429</v>
      </c>
      <c r="K1322" s="137">
        <f>K1321*30/35</f>
        <v>2.442857142857143</v>
      </c>
      <c r="L1322" s="137">
        <f>L1321*30/35</f>
        <v>2.7685714285714287</v>
      </c>
      <c r="M1322" s="137">
        <f>M1321*30/35</f>
        <v>34.997142857142855</v>
      </c>
      <c r="N1322" s="137">
        <f>N1321*30/35</f>
        <v>1.0971428571428572</v>
      </c>
    </row>
    <row r="1324" ht="19.5" thickBot="1"/>
    <row r="1325" spans="10:14" ht="19.5" thickBot="1">
      <c r="J1325" s="18">
        <v>0.93</v>
      </c>
      <c r="K1325" s="19">
        <v>4.88</v>
      </c>
      <c r="L1325" s="19">
        <v>5.53</v>
      </c>
      <c r="M1325" s="19">
        <v>70</v>
      </c>
      <c r="N1325" s="19">
        <v>2.2</v>
      </c>
    </row>
    <row r="1326" spans="10:14" ht="18.75">
      <c r="J1326" s="137">
        <f>J1325*50/60</f>
        <v>0.775</v>
      </c>
      <c r="K1326" s="137">
        <f>K1325*50/60</f>
        <v>4.066666666666666</v>
      </c>
      <c r="L1326" s="137">
        <f>L1325*50/60</f>
        <v>4.608333333333333</v>
      </c>
      <c r="M1326" s="137">
        <f>M1325*50/60</f>
        <v>58.333333333333336</v>
      </c>
      <c r="N1326" s="137">
        <f>N1325*50/60</f>
        <v>1.8333333333333335</v>
      </c>
    </row>
    <row r="1329" ht="19.5" thickBot="1"/>
    <row r="1330" spans="5:6" ht="19.5" thickBot="1">
      <c r="E1330" s="16">
        <v>10</v>
      </c>
      <c r="F1330" s="137">
        <f>E1330*130/160</f>
        <v>8.125</v>
      </c>
    </row>
    <row r="1331" spans="5:6" ht="19.5" thickBot="1">
      <c r="E1331" s="17">
        <v>8</v>
      </c>
      <c r="F1331" s="137">
        <f aca="true" t="shared" si="155" ref="F1331:F1339">E1331*130/160</f>
        <v>6.5</v>
      </c>
    </row>
    <row r="1332" spans="5:6" ht="19.5" thickBot="1">
      <c r="E1332" s="17">
        <v>120</v>
      </c>
      <c r="F1332" s="137">
        <f t="shared" si="155"/>
        <v>97.5</v>
      </c>
    </row>
    <row r="1333" spans="5:6" ht="19.5" thickBot="1">
      <c r="E1333" s="17" t="s">
        <v>156</v>
      </c>
      <c r="F1333" s="137" t="e">
        <f t="shared" si="155"/>
        <v>#VALUE!</v>
      </c>
    </row>
    <row r="1334" spans="5:6" ht="19.5" thickBot="1">
      <c r="E1334" s="17">
        <v>108</v>
      </c>
      <c r="F1334" s="137">
        <f t="shared" si="155"/>
        <v>87.75</v>
      </c>
    </row>
    <row r="1335" spans="5:6" ht="19.5" thickBot="1">
      <c r="E1335" s="17">
        <v>27</v>
      </c>
      <c r="F1335" s="137">
        <f t="shared" si="155"/>
        <v>21.9375</v>
      </c>
    </row>
    <row r="1336" spans="5:6" ht="19.5" thickBot="1">
      <c r="E1336" s="17">
        <v>4.5</v>
      </c>
      <c r="F1336" s="137">
        <f t="shared" si="155"/>
        <v>3.65625</v>
      </c>
    </row>
    <row r="1337" spans="5:14" ht="19.5" thickBot="1">
      <c r="E1337" s="17">
        <v>157.5</v>
      </c>
      <c r="F1337" s="137">
        <f t="shared" si="155"/>
        <v>127.96875</v>
      </c>
      <c r="I1337" s="14">
        <v>37</v>
      </c>
      <c r="J1337" s="137">
        <f>I1337*30/45</f>
        <v>24.666666666666668</v>
      </c>
      <c r="M1337" s="16">
        <v>25</v>
      </c>
      <c r="N1337" s="137">
        <f>M1337*50/30</f>
        <v>41.666666666666664</v>
      </c>
    </row>
    <row r="1338" spans="5:14" ht="19.5" thickBot="1">
      <c r="E1338" s="17">
        <v>2.5</v>
      </c>
      <c r="F1338" s="137">
        <f t="shared" si="155"/>
        <v>2.03125</v>
      </c>
      <c r="I1338" s="15">
        <v>40</v>
      </c>
      <c r="J1338" s="137">
        <f aca="true" t="shared" si="156" ref="J1338:J1346">I1338*30/45</f>
        <v>26.666666666666668</v>
      </c>
      <c r="M1338" s="17">
        <v>27</v>
      </c>
      <c r="N1338" s="137">
        <f aca="true" t="shared" si="157" ref="N1338:N1346">M1338*50/30</f>
        <v>45</v>
      </c>
    </row>
    <row r="1339" spans="5:14" ht="19.5" thickBot="1">
      <c r="E1339" s="17">
        <v>160</v>
      </c>
      <c r="F1339" s="137">
        <f t="shared" si="155"/>
        <v>130</v>
      </c>
      <c r="I1339" s="15">
        <v>43</v>
      </c>
      <c r="J1339" s="137">
        <f t="shared" si="156"/>
        <v>28.666666666666668</v>
      </c>
      <c r="M1339" s="17">
        <v>29</v>
      </c>
      <c r="N1339" s="137">
        <f t="shared" si="157"/>
        <v>48.333333333333336</v>
      </c>
    </row>
    <row r="1340" spans="9:14" ht="19.5" thickBot="1">
      <c r="I1340" s="15">
        <v>46</v>
      </c>
      <c r="J1340" s="137">
        <f t="shared" si="156"/>
        <v>30.666666666666668</v>
      </c>
      <c r="M1340" s="17">
        <v>31</v>
      </c>
      <c r="N1340" s="137">
        <f t="shared" si="157"/>
        <v>51.666666666666664</v>
      </c>
    </row>
    <row r="1341" spans="9:14" ht="19.5" thickBot="1">
      <c r="I1341" s="15">
        <v>27</v>
      </c>
      <c r="J1341" s="137">
        <f t="shared" si="156"/>
        <v>18</v>
      </c>
      <c r="M1341" s="17">
        <v>18</v>
      </c>
      <c r="N1341" s="137">
        <f t="shared" si="157"/>
        <v>30</v>
      </c>
    </row>
    <row r="1342" spans="9:14" ht="19.5" thickBot="1">
      <c r="I1342" s="15">
        <v>14</v>
      </c>
      <c r="J1342" s="137">
        <f t="shared" si="156"/>
        <v>9.333333333333334</v>
      </c>
      <c r="M1342" s="17">
        <v>9</v>
      </c>
      <c r="N1342" s="137">
        <f t="shared" si="157"/>
        <v>15</v>
      </c>
    </row>
    <row r="1343" spans="9:14" ht="19.5" thickBot="1">
      <c r="I1343" s="15">
        <v>9</v>
      </c>
      <c r="J1343" s="137">
        <f t="shared" si="156"/>
        <v>6</v>
      </c>
      <c r="M1343" s="17">
        <v>6</v>
      </c>
      <c r="N1343" s="137">
        <f t="shared" si="157"/>
        <v>10</v>
      </c>
    </row>
    <row r="1344" spans="9:14" ht="19.5" thickBot="1">
      <c r="I1344" s="15">
        <v>5</v>
      </c>
      <c r="J1344" s="137">
        <f t="shared" si="156"/>
        <v>3.3333333333333335</v>
      </c>
      <c r="M1344" s="17">
        <v>3</v>
      </c>
      <c r="N1344" s="137">
        <f t="shared" si="157"/>
        <v>5</v>
      </c>
    </row>
    <row r="1345" spans="9:14" ht="19.5" thickBot="1">
      <c r="I1345" s="15">
        <v>5</v>
      </c>
      <c r="J1345" s="137">
        <f t="shared" si="156"/>
        <v>3.3333333333333335</v>
      </c>
      <c r="M1345" s="17">
        <v>3</v>
      </c>
      <c r="N1345" s="137">
        <f t="shared" si="157"/>
        <v>5</v>
      </c>
    </row>
    <row r="1346" spans="9:14" ht="19.5" thickBot="1">
      <c r="I1346" s="15">
        <v>45</v>
      </c>
      <c r="J1346" s="137">
        <f t="shared" si="156"/>
        <v>30</v>
      </c>
      <c r="M1346" s="17">
        <v>30</v>
      </c>
      <c r="N1346" s="137">
        <f t="shared" si="157"/>
        <v>50</v>
      </c>
    </row>
    <row r="1355" ht="19.5" thickBot="1"/>
    <row r="1356" spans="10:15" ht="19.5" thickBot="1">
      <c r="J1356" s="14">
        <v>149</v>
      </c>
      <c r="K1356" s="137">
        <f>J1356*80/150</f>
        <v>79.46666666666667</v>
      </c>
      <c r="N1356" s="16">
        <v>79</v>
      </c>
      <c r="O1356" s="137">
        <f>N1356*100/80</f>
        <v>98.75</v>
      </c>
    </row>
    <row r="1357" spans="10:15" ht="19.5" thickBot="1">
      <c r="J1357" s="15">
        <v>149</v>
      </c>
      <c r="K1357" s="137">
        <f aca="true" t="shared" si="158" ref="K1357:K1363">J1357*80/150</f>
        <v>79.46666666666667</v>
      </c>
      <c r="N1357" s="17">
        <v>79</v>
      </c>
      <c r="O1357" s="137">
        <f aca="true" t="shared" si="159" ref="O1357:O1362">N1357*100/80</f>
        <v>98.75</v>
      </c>
    </row>
    <row r="1358" spans="10:15" ht="19.5" thickBot="1">
      <c r="J1358" s="15">
        <v>149</v>
      </c>
      <c r="K1358" s="137">
        <f t="shared" si="158"/>
        <v>79.46666666666667</v>
      </c>
      <c r="N1358" s="17">
        <v>79</v>
      </c>
      <c r="O1358" s="137">
        <f t="shared" si="159"/>
        <v>98.75</v>
      </c>
    </row>
    <row r="1359" spans="10:15" ht="19.5" thickBot="1">
      <c r="J1359" s="15">
        <v>149</v>
      </c>
      <c r="K1359" s="137">
        <f t="shared" si="158"/>
        <v>79.46666666666667</v>
      </c>
      <c r="N1359" s="17">
        <v>79</v>
      </c>
      <c r="O1359" s="137">
        <f t="shared" si="159"/>
        <v>98.75</v>
      </c>
    </row>
    <row r="1360" spans="10:15" ht="19.5" thickBot="1">
      <c r="J1360" s="15">
        <v>144</v>
      </c>
      <c r="K1360" s="137">
        <f t="shared" si="158"/>
        <v>76.8</v>
      </c>
      <c r="N1360" s="17">
        <v>77</v>
      </c>
      <c r="O1360" s="137">
        <f t="shared" si="159"/>
        <v>96.25</v>
      </c>
    </row>
    <row r="1361" spans="6:15" ht="19.5" thickBot="1">
      <c r="F1361" s="14">
        <v>213</v>
      </c>
      <c r="G1361" s="137">
        <f>F1361*150/200</f>
        <v>159.75</v>
      </c>
      <c r="J1361" s="15">
        <v>7</v>
      </c>
      <c r="K1361" s="137">
        <f t="shared" si="158"/>
        <v>3.7333333333333334</v>
      </c>
      <c r="N1361" s="17">
        <v>4</v>
      </c>
      <c r="O1361" s="137">
        <f t="shared" si="159"/>
        <v>5</v>
      </c>
    </row>
    <row r="1362" spans="6:15" ht="19.5" thickBot="1">
      <c r="F1362" s="15">
        <v>213</v>
      </c>
      <c r="G1362" s="137">
        <f>F1362*150/200</f>
        <v>159.75</v>
      </c>
      <c r="J1362" s="15">
        <v>150</v>
      </c>
      <c r="K1362" s="137">
        <f t="shared" si="158"/>
        <v>80</v>
      </c>
      <c r="N1362" s="17">
        <v>80</v>
      </c>
      <c r="O1362" s="137">
        <f t="shared" si="159"/>
        <v>100</v>
      </c>
    </row>
    <row r="1363" spans="6:11" ht="19.5" thickBot="1">
      <c r="F1363" s="15">
        <v>3</v>
      </c>
      <c r="G1363" s="137">
        <f>F1363*150/200</f>
        <v>2.25</v>
      </c>
      <c r="K1363" s="137">
        <f t="shared" si="158"/>
        <v>0</v>
      </c>
    </row>
    <row r="1364" spans="6:7" ht="19.5" thickBot="1">
      <c r="F1364" s="15">
        <v>200</v>
      </c>
      <c r="G1364" s="137">
        <f>F1364*150/200</f>
        <v>150</v>
      </c>
    </row>
    <row r="1365" spans="6:7" ht="19.5" thickBot="1">
      <c r="F1365" s="15">
        <v>3</v>
      </c>
      <c r="G1365" s="137">
        <f>F1365*150/200</f>
        <v>2.25</v>
      </c>
    </row>
    <row r="1374" ht="19.5" thickBot="1"/>
    <row r="1375" spans="6:18" ht="19.5" thickBot="1">
      <c r="F1375" s="16">
        <v>4</v>
      </c>
      <c r="G1375" s="137">
        <f>F1375*200/192</f>
        <v>4.166666666666667</v>
      </c>
      <c r="K1375" s="16">
        <v>4</v>
      </c>
      <c r="L1375" s="137">
        <f>K1375*250/200</f>
        <v>5</v>
      </c>
      <c r="N1375" s="14">
        <v>98</v>
      </c>
      <c r="O1375" s="137">
        <f>N1375*30/62</f>
        <v>47.41935483870968</v>
      </c>
      <c r="Q1375" s="16">
        <v>47</v>
      </c>
      <c r="R1375" s="137">
        <f>Q1375*20/30</f>
        <v>31.333333333333332</v>
      </c>
    </row>
    <row r="1376" spans="6:18" ht="19.5" thickBot="1">
      <c r="F1376" s="17"/>
      <c r="G1376" s="137">
        <f aca="true" t="shared" si="160" ref="G1376:G1387">F1376*200/192</f>
        <v>0</v>
      </c>
      <c r="K1376" s="17"/>
      <c r="L1376" s="137">
        <f aca="true" t="shared" si="161" ref="L1376:L1387">K1376*250/200</f>
        <v>0</v>
      </c>
      <c r="N1376" s="15">
        <v>98</v>
      </c>
      <c r="O1376" s="137">
        <f>N1376*30/62</f>
        <v>47.41935483870968</v>
      </c>
      <c r="Q1376" s="17">
        <v>47</v>
      </c>
      <c r="R1376" s="137">
        <f>Q1376*20/30</f>
        <v>31.333333333333332</v>
      </c>
    </row>
    <row r="1377" spans="6:18" ht="19.5" thickBot="1">
      <c r="F1377" s="17">
        <v>58</v>
      </c>
      <c r="G1377" s="137">
        <f t="shared" si="160"/>
        <v>60.416666666666664</v>
      </c>
      <c r="K1377" s="17">
        <v>60</v>
      </c>
      <c r="L1377" s="137">
        <f t="shared" si="161"/>
        <v>75</v>
      </c>
      <c r="N1377" s="15">
        <v>62</v>
      </c>
      <c r="O1377" s="137">
        <f>N1377*30/62</f>
        <v>30</v>
      </c>
      <c r="Q1377" s="17">
        <v>30</v>
      </c>
      <c r="R1377" s="137">
        <f>Q1377*20/30</f>
        <v>20</v>
      </c>
    </row>
    <row r="1378" spans="6:12" ht="19.5" thickBot="1">
      <c r="F1378" s="17">
        <v>58</v>
      </c>
      <c r="G1378" s="137">
        <f t="shared" si="160"/>
        <v>60.416666666666664</v>
      </c>
      <c r="K1378" s="17">
        <v>60</v>
      </c>
      <c r="L1378" s="137">
        <f t="shared" si="161"/>
        <v>75</v>
      </c>
    </row>
    <row r="1379" spans="6:12" ht="19.5" thickBot="1">
      <c r="F1379" s="17">
        <v>58</v>
      </c>
      <c r="G1379" s="137">
        <f t="shared" si="160"/>
        <v>60.416666666666664</v>
      </c>
      <c r="K1379" s="17">
        <v>60</v>
      </c>
      <c r="L1379" s="137">
        <f t="shared" si="161"/>
        <v>75</v>
      </c>
    </row>
    <row r="1380" spans="6:12" ht="19.5" thickBot="1">
      <c r="F1380" s="17">
        <v>58</v>
      </c>
      <c r="G1380" s="137">
        <f t="shared" si="160"/>
        <v>60.416666666666664</v>
      </c>
      <c r="K1380" s="17">
        <v>60</v>
      </c>
      <c r="L1380" s="137">
        <f t="shared" si="161"/>
        <v>75</v>
      </c>
    </row>
    <row r="1381" spans="6:12" ht="19.5" thickBot="1">
      <c r="F1381" s="17"/>
      <c r="G1381" s="137">
        <f t="shared" si="160"/>
        <v>0</v>
      </c>
      <c r="K1381" s="17"/>
      <c r="L1381" s="137">
        <f t="shared" si="161"/>
        <v>0</v>
      </c>
    </row>
    <row r="1382" spans="6:12" ht="19.5" thickBot="1">
      <c r="F1382" s="17">
        <v>8</v>
      </c>
      <c r="G1382" s="137">
        <f t="shared" si="160"/>
        <v>8.333333333333334</v>
      </c>
      <c r="K1382" s="17">
        <v>8</v>
      </c>
      <c r="L1382" s="137">
        <f t="shared" si="161"/>
        <v>10</v>
      </c>
    </row>
    <row r="1383" spans="6:12" ht="19.5" thickBot="1">
      <c r="F1383" s="17">
        <v>8</v>
      </c>
      <c r="G1383" s="137">
        <f t="shared" si="160"/>
        <v>8.333333333333334</v>
      </c>
      <c r="K1383" s="17">
        <v>8</v>
      </c>
      <c r="L1383" s="137">
        <f t="shared" si="161"/>
        <v>10</v>
      </c>
    </row>
    <row r="1384" spans="6:12" ht="19.5" thickBot="1">
      <c r="F1384" s="17">
        <v>8</v>
      </c>
      <c r="G1384" s="137">
        <f t="shared" si="160"/>
        <v>8.333333333333334</v>
      </c>
      <c r="K1384" s="17">
        <v>8</v>
      </c>
      <c r="L1384" s="137">
        <f t="shared" si="161"/>
        <v>10</v>
      </c>
    </row>
    <row r="1385" spans="6:12" ht="19.5" thickBot="1">
      <c r="F1385" s="17">
        <v>2</v>
      </c>
      <c r="G1385" s="137">
        <f t="shared" si="160"/>
        <v>2.0833333333333335</v>
      </c>
      <c r="K1385" s="17">
        <v>8</v>
      </c>
      <c r="L1385" s="137">
        <f t="shared" si="161"/>
        <v>10</v>
      </c>
    </row>
    <row r="1386" spans="6:12" ht="19.5" thickBot="1">
      <c r="F1386" s="15">
        <v>134</v>
      </c>
      <c r="G1386" s="137">
        <f t="shared" si="160"/>
        <v>139.58333333333334</v>
      </c>
      <c r="K1386" s="17">
        <v>140</v>
      </c>
      <c r="L1386" s="137">
        <f t="shared" si="161"/>
        <v>175</v>
      </c>
    </row>
    <row r="1387" spans="6:12" ht="19.5" thickBot="1">
      <c r="F1387" s="15">
        <v>200</v>
      </c>
      <c r="G1387" s="137">
        <f t="shared" si="160"/>
        <v>208.33333333333334</v>
      </c>
      <c r="K1387" s="17">
        <v>200</v>
      </c>
      <c r="L1387" s="137">
        <f t="shared" si="161"/>
        <v>250</v>
      </c>
    </row>
    <row r="1388" ht="19.5" thickBot="1"/>
    <row r="1389" spans="3:4" ht="19.5" thickBot="1">
      <c r="C1389" s="32">
        <v>54</v>
      </c>
      <c r="D1389" s="137">
        <f>C1389*180/210</f>
        <v>46.285714285714285</v>
      </c>
    </row>
    <row r="1390" spans="3:4" ht="19.5" thickBot="1">
      <c r="C1390" s="33">
        <v>54</v>
      </c>
      <c r="D1390" s="137">
        <f aca="true" t="shared" si="162" ref="D1390:D1400">C1390*180/210</f>
        <v>46.285714285714285</v>
      </c>
    </row>
    <row r="1391" spans="3:14" ht="19.5" thickBot="1">
      <c r="C1391" s="33">
        <v>54</v>
      </c>
      <c r="D1391" s="137">
        <f t="shared" si="162"/>
        <v>46.285714285714285</v>
      </c>
      <c r="J1391" s="14">
        <v>58</v>
      </c>
      <c r="K1391" s="137">
        <f>J1391*140/120</f>
        <v>67.66666666666667</v>
      </c>
      <c r="M1391" s="14">
        <v>58</v>
      </c>
      <c r="N1391" s="137">
        <f>M1391*220/130</f>
        <v>98.15384615384616</v>
      </c>
    </row>
    <row r="1392" spans="3:14" ht="19.5" thickBot="1">
      <c r="C1392" s="33">
        <v>54</v>
      </c>
      <c r="D1392" s="137">
        <f t="shared" si="162"/>
        <v>46.285714285714285</v>
      </c>
      <c r="J1392" s="15">
        <v>69</v>
      </c>
      <c r="K1392" s="137">
        <f aca="true" t="shared" si="163" ref="K1392:K1401">J1392*140/120</f>
        <v>80.5</v>
      </c>
      <c r="M1392" s="15">
        <v>69</v>
      </c>
      <c r="N1392" s="137">
        <f aca="true" t="shared" si="164" ref="N1392:N1404">M1392*220/130</f>
        <v>116.76923076923077</v>
      </c>
    </row>
    <row r="1393" spans="3:14" ht="19.5" thickBot="1">
      <c r="C1393" s="33"/>
      <c r="D1393" s="137">
        <f t="shared" si="162"/>
        <v>0</v>
      </c>
      <c r="J1393" s="15"/>
      <c r="K1393" s="137">
        <f t="shared" si="163"/>
        <v>0</v>
      </c>
      <c r="M1393" s="15"/>
      <c r="N1393" s="137">
        <f t="shared" si="164"/>
        <v>0</v>
      </c>
    </row>
    <row r="1394" spans="3:14" ht="19.5" thickBot="1">
      <c r="C1394" s="33">
        <v>42</v>
      </c>
      <c r="D1394" s="137">
        <f t="shared" si="162"/>
        <v>36</v>
      </c>
      <c r="J1394" s="15"/>
      <c r="K1394" s="137">
        <f t="shared" si="163"/>
        <v>0</v>
      </c>
      <c r="M1394" s="17">
        <v>131</v>
      </c>
      <c r="N1394" s="137">
        <f t="shared" si="164"/>
        <v>221.69230769230768</v>
      </c>
    </row>
    <row r="1395" spans="3:14" ht="19.5" thickBot="1">
      <c r="C1395" s="33">
        <v>42</v>
      </c>
      <c r="D1395" s="137">
        <f t="shared" si="162"/>
        <v>36</v>
      </c>
      <c r="J1395" s="15">
        <v>14</v>
      </c>
      <c r="K1395" s="137">
        <f t="shared" si="163"/>
        <v>16.333333333333332</v>
      </c>
      <c r="M1395" s="17">
        <v>4</v>
      </c>
      <c r="N1395" s="137">
        <f t="shared" si="164"/>
        <v>6.769230769230769</v>
      </c>
    </row>
    <row r="1396" spans="3:14" ht="19.5" thickBot="1">
      <c r="C1396" s="33">
        <v>21</v>
      </c>
      <c r="D1396" s="137">
        <f t="shared" si="162"/>
        <v>18</v>
      </c>
      <c r="J1396" s="15">
        <v>15</v>
      </c>
      <c r="K1396" s="137">
        <f t="shared" si="163"/>
        <v>17.5</v>
      </c>
      <c r="M1396" s="17">
        <v>1.3</v>
      </c>
      <c r="N1396" s="137">
        <f t="shared" si="164"/>
        <v>2.2</v>
      </c>
    </row>
    <row r="1397" spans="3:14" ht="19.5" thickBot="1">
      <c r="C1397" s="33">
        <v>77</v>
      </c>
      <c r="D1397" s="137">
        <f t="shared" si="162"/>
        <v>66</v>
      </c>
      <c r="J1397" s="15">
        <v>4</v>
      </c>
      <c r="K1397" s="137">
        <f t="shared" si="163"/>
        <v>4.666666666666667</v>
      </c>
      <c r="M1397" s="17"/>
      <c r="N1397" s="137">
        <f t="shared" si="164"/>
        <v>0</v>
      </c>
    </row>
    <row r="1398" spans="3:14" ht="19.5" thickBot="1">
      <c r="C1398" s="33">
        <v>111</v>
      </c>
      <c r="D1398" s="137">
        <f t="shared" si="162"/>
        <v>95.14285714285714</v>
      </c>
      <c r="J1398" s="15">
        <v>13</v>
      </c>
      <c r="K1398" s="137">
        <f t="shared" si="163"/>
        <v>15.166666666666666</v>
      </c>
      <c r="M1398" s="17">
        <v>16</v>
      </c>
      <c r="N1398" s="137">
        <f t="shared" si="164"/>
        <v>27.076923076923077</v>
      </c>
    </row>
    <row r="1399" spans="3:14" ht="19.5" thickBot="1">
      <c r="C1399" s="33">
        <v>5</v>
      </c>
      <c r="D1399" s="137">
        <f t="shared" si="162"/>
        <v>4.285714285714286</v>
      </c>
      <c r="J1399" s="15">
        <v>30</v>
      </c>
      <c r="K1399" s="137">
        <f t="shared" si="163"/>
        <v>35</v>
      </c>
      <c r="M1399" s="17">
        <v>17</v>
      </c>
      <c r="N1399" s="137">
        <f t="shared" si="164"/>
        <v>28.76923076923077</v>
      </c>
    </row>
    <row r="1400" spans="3:14" ht="19.5" thickBot="1">
      <c r="C1400" s="33">
        <v>210</v>
      </c>
      <c r="D1400" s="137">
        <f t="shared" si="162"/>
        <v>180</v>
      </c>
      <c r="J1400" s="15">
        <v>60</v>
      </c>
      <c r="K1400" s="137">
        <f t="shared" si="163"/>
        <v>70</v>
      </c>
      <c r="M1400" s="17">
        <v>7</v>
      </c>
      <c r="N1400" s="137">
        <f t="shared" si="164"/>
        <v>11.846153846153847</v>
      </c>
    </row>
    <row r="1401" spans="10:14" ht="19.5" thickBot="1">
      <c r="J1401" s="17">
        <v>120</v>
      </c>
      <c r="K1401" s="137">
        <f t="shared" si="163"/>
        <v>140</v>
      </c>
      <c r="M1401" s="17">
        <v>1.1</v>
      </c>
      <c r="N1401" s="137">
        <f t="shared" si="164"/>
        <v>1.8615384615384618</v>
      </c>
    </row>
    <row r="1402" spans="13:14" ht="19.5" thickBot="1">
      <c r="M1402" s="17">
        <v>2.5</v>
      </c>
      <c r="N1402" s="137">
        <f t="shared" si="164"/>
        <v>4.230769230769231</v>
      </c>
    </row>
    <row r="1403" spans="13:14" ht="19.5" thickBot="1">
      <c r="M1403" s="17">
        <v>100</v>
      </c>
      <c r="N1403" s="137">
        <f t="shared" si="164"/>
        <v>169.23076923076923</v>
      </c>
    </row>
    <row r="1404" spans="13:14" ht="19.5" thickBot="1">
      <c r="M1404" s="17">
        <v>130</v>
      </c>
      <c r="N1404" s="137">
        <f t="shared" si="164"/>
        <v>220</v>
      </c>
    </row>
    <row r="1411" ht="19.5" thickBot="1"/>
    <row r="1412" spans="11:15" ht="19.5" thickBot="1">
      <c r="K1412" s="16">
        <v>36</v>
      </c>
      <c r="L1412" s="137">
        <f>K1412*60/55</f>
        <v>39.27272727272727</v>
      </c>
      <c r="N1412" s="137">
        <v>39</v>
      </c>
      <c r="O1412" s="137">
        <f>N1412*70/60</f>
        <v>45.5</v>
      </c>
    </row>
    <row r="1413" spans="11:15" ht="19.5" thickBot="1">
      <c r="K1413" s="17">
        <v>1.6</v>
      </c>
      <c r="L1413" s="137">
        <f aca="true" t="shared" si="165" ref="L1413:L1426">K1413*60/55</f>
        <v>1.7454545454545454</v>
      </c>
      <c r="N1413" s="137">
        <v>1.7</v>
      </c>
      <c r="O1413" s="137">
        <f aca="true" t="shared" si="166" ref="O1413:O1426">N1413*70/60</f>
        <v>1.9833333333333334</v>
      </c>
    </row>
    <row r="1414" spans="6:15" ht="19.5" thickBot="1">
      <c r="F1414" s="14">
        <v>58</v>
      </c>
      <c r="G1414" s="137">
        <f>F1414*130/115</f>
        <v>65.56521739130434</v>
      </c>
      <c r="K1414" s="17">
        <v>4</v>
      </c>
      <c r="L1414" s="137">
        <f t="shared" si="165"/>
        <v>4.363636363636363</v>
      </c>
      <c r="N1414" s="137">
        <v>4</v>
      </c>
      <c r="O1414" s="137">
        <f t="shared" si="166"/>
        <v>4.666666666666667</v>
      </c>
    </row>
    <row r="1415" spans="6:15" ht="19.5" thickBot="1">
      <c r="F1415" s="15">
        <v>69</v>
      </c>
      <c r="G1415" s="137">
        <f aca="true" t="shared" si="167" ref="G1415:G1432">F1415*130/115</f>
        <v>78</v>
      </c>
      <c r="K1415" s="17">
        <v>1.1</v>
      </c>
      <c r="L1415" s="137">
        <f t="shared" si="165"/>
        <v>1.2</v>
      </c>
      <c r="N1415" s="137">
        <v>1.2</v>
      </c>
      <c r="O1415" s="137">
        <f t="shared" si="166"/>
        <v>1.4</v>
      </c>
    </row>
    <row r="1416" spans="6:15" ht="19.5" thickBot="1">
      <c r="F1416" s="15"/>
      <c r="G1416" s="137">
        <f t="shared" si="167"/>
        <v>0</v>
      </c>
      <c r="K1416" s="17">
        <v>0.7</v>
      </c>
      <c r="L1416" s="137">
        <f t="shared" si="165"/>
        <v>0.7636363636363637</v>
      </c>
      <c r="N1416" s="137">
        <v>0.7</v>
      </c>
      <c r="O1416" s="137">
        <f t="shared" si="166"/>
        <v>0.8166666666666667</v>
      </c>
    </row>
    <row r="1417" spans="6:15" ht="19.5" thickBot="1">
      <c r="F1417" s="15"/>
      <c r="G1417" s="137">
        <f t="shared" si="167"/>
        <v>0</v>
      </c>
      <c r="K1417" s="17">
        <v>0.3</v>
      </c>
      <c r="L1417" s="137">
        <f t="shared" si="165"/>
        <v>0.32727272727272727</v>
      </c>
      <c r="N1417" s="137">
        <v>0.3</v>
      </c>
      <c r="O1417" s="137">
        <f t="shared" si="166"/>
        <v>0.35</v>
      </c>
    </row>
    <row r="1418" spans="6:15" ht="19.5" thickBot="1">
      <c r="F1418" s="15">
        <v>121</v>
      </c>
      <c r="G1418" s="137">
        <f t="shared" si="167"/>
        <v>136.7826086956522</v>
      </c>
      <c r="K1418" s="17">
        <v>16</v>
      </c>
      <c r="L1418" s="137">
        <f t="shared" si="165"/>
        <v>17.454545454545453</v>
      </c>
      <c r="N1418" s="137">
        <v>17</v>
      </c>
      <c r="O1418" s="137">
        <f t="shared" si="166"/>
        <v>19.833333333333332</v>
      </c>
    </row>
    <row r="1419" spans="6:15" ht="19.5" thickBot="1">
      <c r="F1419" s="15">
        <v>130</v>
      </c>
      <c r="G1419" s="137">
        <f t="shared" si="167"/>
        <v>146.95652173913044</v>
      </c>
      <c r="K1419" s="15" t="s">
        <v>158</v>
      </c>
      <c r="L1419" s="137" t="e">
        <f t="shared" si="165"/>
        <v>#VALUE!</v>
      </c>
      <c r="N1419" s="137" t="s">
        <v>159</v>
      </c>
      <c r="O1419" s="137" t="e">
        <f t="shared" si="166"/>
        <v>#VALUE!</v>
      </c>
    </row>
    <row r="1420" spans="6:15" ht="19.5" thickBot="1">
      <c r="F1420" s="15">
        <v>140</v>
      </c>
      <c r="G1420" s="137">
        <f t="shared" si="167"/>
        <v>158.2608695652174</v>
      </c>
      <c r="K1420" s="17">
        <v>14</v>
      </c>
      <c r="L1420" s="137">
        <f t="shared" si="165"/>
        <v>15.272727272727273</v>
      </c>
      <c r="N1420" s="137">
        <v>15</v>
      </c>
      <c r="O1420" s="137">
        <f t="shared" si="166"/>
        <v>17.5</v>
      </c>
    </row>
    <row r="1421" spans="6:15" ht="19.5" thickBot="1">
      <c r="F1421" s="15">
        <v>152</v>
      </c>
      <c r="G1421" s="137">
        <f t="shared" si="167"/>
        <v>171.82608695652175</v>
      </c>
      <c r="K1421" s="17">
        <v>57</v>
      </c>
      <c r="L1421" s="137">
        <f t="shared" si="165"/>
        <v>62.18181818181818</v>
      </c>
      <c r="N1421" s="137">
        <v>62</v>
      </c>
      <c r="O1421" s="137">
        <f t="shared" si="166"/>
        <v>72.33333333333333</v>
      </c>
    </row>
    <row r="1422" spans="6:15" ht="19.5" thickBot="1">
      <c r="F1422" s="15"/>
      <c r="G1422" s="137">
        <f t="shared" si="167"/>
        <v>0</v>
      </c>
      <c r="K1422" s="17">
        <v>1.6</v>
      </c>
      <c r="L1422" s="137">
        <f t="shared" si="165"/>
        <v>1.7454545454545454</v>
      </c>
      <c r="N1422" s="137">
        <v>1.7</v>
      </c>
      <c r="O1422" s="137">
        <f t="shared" si="166"/>
        <v>1.9833333333333334</v>
      </c>
    </row>
    <row r="1423" spans="6:15" ht="19.5" thickBot="1">
      <c r="F1423" s="15"/>
      <c r="G1423" s="137">
        <f t="shared" si="167"/>
        <v>0</v>
      </c>
      <c r="K1423" s="17">
        <v>1.3</v>
      </c>
      <c r="L1423" s="137">
        <f t="shared" si="165"/>
        <v>1.4181818181818182</v>
      </c>
      <c r="N1423" s="137">
        <v>1.5</v>
      </c>
      <c r="O1423" s="137">
        <f t="shared" si="166"/>
        <v>1.75</v>
      </c>
    </row>
    <row r="1424" spans="6:15" ht="19.5" thickBot="1">
      <c r="F1424" s="15">
        <v>12.5</v>
      </c>
      <c r="G1424" s="137">
        <f t="shared" si="167"/>
        <v>14.130434782608695</v>
      </c>
      <c r="K1424" s="17">
        <v>60</v>
      </c>
      <c r="L1424" s="137">
        <f t="shared" si="165"/>
        <v>65.45454545454545</v>
      </c>
      <c r="N1424" s="137">
        <v>65</v>
      </c>
      <c r="O1424" s="137">
        <f t="shared" si="166"/>
        <v>75.83333333333333</v>
      </c>
    </row>
    <row r="1425" spans="6:15" ht="19.5" thickBot="1">
      <c r="F1425" s="15">
        <v>13.6</v>
      </c>
      <c r="G1425" s="137">
        <f t="shared" si="167"/>
        <v>15.373913043478261</v>
      </c>
      <c r="K1425" s="17">
        <v>0.2</v>
      </c>
      <c r="L1425" s="137">
        <f t="shared" si="165"/>
        <v>0.21818181818181817</v>
      </c>
      <c r="N1425" s="137">
        <v>0.2</v>
      </c>
      <c r="O1425" s="137">
        <f t="shared" si="166"/>
        <v>0.23333333333333334</v>
      </c>
    </row>
    <row r="1426" spans="6:15" ht="19.5" thickBot="1">
      <c r="F1426" s="15">
        <v>8</v>
      </c>
      <c r="G1426" s="137">
        <f t="shared" si="167"/>
        <v>9.043478260869565</v>
      </c>
      <c r="K1426" s="17">
        <v>55</v>
      </c>
      <c r="L1426" s="137">
        <f t="shared" si="165"/>
        <v>60</v>
      </c>
      <c r="N1426" s="137">
        <v>60</v>
      </c>
      <c r="O1426" s="137">
        <f t="shared" si="166"/>
        <v>70</v>
      </c>
    </row>
    <row r="1427" spans="6:7" ht="19.5" thickBot="1">
      <c r="F1427" s="15">
        <v>6</v>
      </c>
      <c r="G1427" s="137">
        <f t="shared" si="167"/>
        <v>6.782608695652174</v>
      </c>
    </row>
    <row r="1428" spans="6:7" ht="19.5" thickBot="1">
      <c r="F1428" s="15" t="s">
        <v>157</v>
      </c>
      <c r="G1428" s="137" t="e">
        <f t="shared" si="167"/>
        <v>#VALUE!</v>
      </c>
    </row>
    <row r="1429" spans="6:7" ht="19.5" thickBot="1">
      <c r="F1429" s="15">
        <v>1.7</v>
      </c>
      <c r="G1429" s="137">
        <f t="shared" si="167"/>
        <v>1.9217391304347826</v>
      </c>
    </row>
    <row r="1430" spans="6:7" ht="19.5" thickBot="1">
      <c r="F1430" s="17">
        <v>152</v>
      </c>
      <c r="G1430" s="137">
        <f t="shared" si="167"/>
        <v>171.82608695652175</v>
      </c>
    </row>
    <row r="1431" spans="6:7" ht="19.5" thickBot="1">
      <c r="F1431" s="17">
        <v>130</v>
      </c>
      <c r="G1431" s="137">
        <f t="shared" si="167"/>
        <v>146.95652173913044</v>
      </c>
    </row>
    <row r="1432" spans="6:7" ht="19.5" thickBot="1">
      <c r="F1432" s="17">
        <v>115</v>
      </c>
      <c r="G1432" s="137">
        <f t="shared" si="167"/>
        <v>130</v>
      </c>
    </row>
    <row r="1449" ht="19.5" thickBot="1"/>
    <row r="1450" spans="6:16" ht="19.5" thickBot="1">
      <c r="F1450" s="16">
        <v>46</v>
      </c>
      <c r="G1450" s="137">
        <f>F1450*80/70</f>
        <v>52.57142857142857</v>
      </c>
      <c r="K1450" s="16">
        <v>85</v>
      </c>
      <c r="L1450" s="137">
        <f>K1450*110/100</f>
        <v>93.5</v>
      </c>
      <c r="O1450" s="16">
        <v>111</v>
      </c>
      <c r="P1450" s="137">
        <f>O1450*140/130</f>
        <v>119.53846153846153</v>
      </c>
    </row>
    <row r="1451" spans="6:16" ht="19.5" thickBot="1">
      <c r="F1451" s="17">
        <v>2</v>
      </c>
      <c r="G1451" s="137">
        <f aca="true" t="shared" si="168" ref="G1451:G1463">F1451*80/70</f>
        <v>2.2857142857142856</v>
      </c>
      <c r="K1451" s="17">
        <v>85</v>
      </c>
      <c r="L1451" s="137">
        <f aca="true" t="shared" si="169" ref="L1451:L1457">K1451*110/100</f>
        <v>93.5</v>
      </c>
      <c r="O1451" s="17">
        <v>111</v>
      </c>
      <c r="P1451" s="137">
        <f aca="true" t="shared" si="170" ref="P1451:P1457">O1451*140/130</f>
        <v>119.53846153846153</v>
      </c>
    </row>
    <row r="1452" spans="6:16" ht="19.5" thickBot="1">
      <c r="F1452" s="17">
        <v>5</v>
      </c>
      <c r="G1452" s="137">
        <f t="shared" si="168"/>
        <v>5.714285714285714</v>
      </c>
      <c r="K1452" s="17">
        <v>85</v>
      </c>
      <c r="L1452" s="137">
        <f t="shared" si="169"/>
        <v>93.5</v>
      </c>
      <c r="O1452" s="17">
        <v>111</v>
      </c>
      <c r="P1452" s="137">
        <f t="shared" si="170"/>
        <v>119.53846153846153</v>
      </c>
    </row>
    <row r="1453" spans="6:16" ht="19.5" thickBot="1">
      <c r="F1453" s="17">
        <v>1.4</v>
      </c>
      <c r="G1453" s="137">
        <f t="shared" si="168"/>
        <v>1.6</v>
      </c>
      <c r="K1453" s="17">
        <v>85</v>
      </c>
      <c r="L1453" s="137">
        <f t="shared" si="169"/>
        <v>93.5</v>
      </c>
      <c r="O1453" s="17">
        <v>111</v>
      </c>
      <c r="P1453" s="137">
        <f t="shared" si="170"/>
        <v>119.53846153846153</v>
      </c>
    </row>
    <row r="1454" spans="6:16" ht="19.5" thickBot="1">
      <c r="F1454" s="17">
        <v>0.8</v>
      </c>
      <c r="G1454" s="137">
        <f t="shared" si="168"/>
        <v>0.9142857142857143</v>
      </c>
      <c r="K1454" s="17">
        <v>16</v>
      </c>
      <c r="L1454" s="137">
        <f t="shared" si="169"/>
        <v>17.6</v>
      </c>
      <c r="O1454" s="17">
        <v>21</v>
      </c>
      <c r="P1454" s="137">
        <f t="shared" si="170"/>
        <v>22.615384615384617</v>
      </c>
    </row>
    <row r="1455" spans="6:16" ht="19.5" thickBot="1">
      <c r="F1455" s="17">
        <v>0.4</v>
      </c>
      <c r="G1455" s="137">
        <f t="shared" si="168"/>
        <v>0.45714285714285713</v>
      </c>
      <c r="K1455" s="17">
        <v>15</v>
      </c>
      <c r="L1455" s="137">
        <f t="shared" si="169"/>
        <v>16.5</v>
      </c>
      <c r="O1455" s="17">
        <v>20</v>
      </c>
      <c r="P1455" s="137">
        <f t="shared" si="170"/>
        <v>21.53846153846154</v>
      </c>
    </row>
    <row r="1456" spans="6:16" ht="19.5" thickBot="1">
      <c r="F1456" s="17">
        <v>20</v>
      </c>
      <c r="G1456" s="137">
        <f t="shared" si="168"/>
        <v>22.857142857142858</v>
      </c>
      <c r="K1456" s="17">
        <v>3</v>
      </c>
      <c r="L1456" s="137">
        <f t="shared" si="169"/>
        <v>3.3</v>
      </c>
      <c r="O1456" s="17">
        <v>5</v>
      </c>
      <c r="P1456" s="137">
        <f t="shared" si="170"/>
        <v>5.384615384615385</v>
      </c>
    </row>
    <row r="1457" spans="6:16" ht="19.5" thickBot="1">
      <c r="F1457" s="15" t="s">
        <v>160</v>
      </c>
      <c r="G1457" s="137" t="e">
        <f t="shared" si="168"/>
        <v>#VALUE!</v>
      </c>
      <c r="K1457" s="17">
        <v>100</v>
      </c>
      <c r="L1457" s="137">
        <f t="shared" si="169"/>
        <v>110</v>
      </c>
      <c r="O1457" s="17">
        <v>130</v>
      </c>
      <c r="P1457" s="137">
        <f t="shared" si="170"/>
        <v>140</v>
      </c>
    </row>
    <row r="1458" spans="6:7" ht="19.5" thickBot="1">
      <c r="F1458" s="17">
        <v>18</v>
      </c>
      <c r="G1458" s="137">
        <f t="shared" si="168"/>
        <v>20.571428571428573</v>
      </c>
    </row>
    <row r="1459" spans="6:7" ht="19.5" thickBot="1">
      <c r="F1459" s="17">
        <v>72</v>
      </c>
      <c r="G1459" s="137">
        <f t="shared" si="168"/>
        <v>82.28571428571429</v>
      </c>
    </row>
    <row r="1460" spans="6:7" ht="19.5" thickBot="1">
      <c r="F1460" s="17">
        <v>2</v>
      </c>
      <c r="G1460" s="137">
        <f t="shared" si="168"/>
        <v>2.2857142857142856</v>
      </c>
    </row>
    <row r="1461" spans="6:7" ht="19.5" thickBot="1">
      <c r="F1461" s="17">
        <v>1.8</v>
      </c>
      <c r="G1461" s="137">
        <f t="shared" si="168"/>
        <v>2.057142857142857</v>
      </c>
    </row>
    <row r="1462" spans="6:7" ht="19.5" thickBot="1">
      <c r="F1462" s="17">
        <v>76</v>
      </c>
      <c r="G1462" s="137">
        <f t="shared" si="168"/>
        <v>86.85714285714286</v>
      </c>
    </row>
    <row r="1463" spans="6:7" ht="19.5" thickBot="1">
      <c r="F1463" s="17">
        <v>0.3</v>
      </c>
      <c r="G1463" s="137">
        <f t="shared" si="168"/>
        <v>0.34285714285714286</v>
      </c>
    </row>
    <row r="1464" ht="19.5" thickBot="1"/>
    <row r="1465" spans="15:16" ht="19.5" thickBot="1">
      <c r="O1465" s="14">
        <v>37</v>
      </c>
      <c r="P1465" s="137">
        <f>O1465*150/130</f>
        <v>42.69230769230769</v>
      </c>
    </row>
    <row r="1466" spans="6:16" ht="19.5" thickBot="1">
      <c r="F1466" s="14">
        <v>37</v>
      </c>
      <c r="G1466" s="137">
        <f>F1466*200/130</f>
        <v>56.92307692307692</v>
      </c>
      <c r="K1466" s="16">
        <v>162</v>
      </c>
      <c r="L1466" s="137">
        <f>K1466*130/200</f>
        <v>105.3</v>
      </c>
      <c r="O1466" s="17">
        <v>105</v>
      </c>
      <c r="P1466" s="137">
        <f aca="true" t="shared" si="171" ref="P1466:P1473">O1466*150/130</f>
        <v>121.15384615384616</v>
      </c>
    </row>
    <row r="1467" spans="6:16" ht="19.5" thickBot="1">
      <c r="F1467" s="17">
        <v>105</v>
      </c>
      <c r="G1467" s="137">
        <f aca="true" t="shared" si="172" ref="G1467:G1474">F1467*200/130</f>
        <v>161.53846153846155</v>
      </c>
      <c r="K1467" s="17">
        <v>3</v>
      </c>
      <c r="L1467" s="137">
        <f aca="true" t="shared" si="173" ref="L1467:L1473">K1467*130/200</f>
        <v>1.95</v>
      </c>
      <c r="O1467" s="17">
        <v>2</v>
      </c>
      <c r="P1467" s="137">
        <f t="shared" si="171"/>
        <v>2.3076923076923075</v>
      </c>
    </row>
    <row r="1468" spans="6:16" ht="19.5" thickBot="1">
      <c r="F1468" s="17">
        <v>2</v>
      </c>
      <c r="G1468" s="137">
        <f t="shared" si="172"/>
        <v>3.076923076923077</v>
      </c>
      <c r="K1468" s="17">
        <v>24</v>
      </c>
      <c r="L1468" s="137">
        <f t="shared" si="173"/>
        <v>15.6</v>
      </c>
      <c r="O1468" s="17">
        <v>16</v>
      </c>
      <c r="P1468" s="137">
        <f t="shared" si="171"/>
        <v>18.46153846153846</v>
      </c>
    </row>
    <row r="1469" spans="6:16" ht="19.5" thickBot="1">
      <c r="F1469" s="17">
        <v>16</v>
      </c>
      <c r="G1469" s="137">
        <f t="shared" si="172"/>
        <v>24.615384615384617</v>
      </c>
      <c r="K1469" s="17">
        <v>33</v>
      </c>
      <c r="L1469" s="137">
        <f t="shared" si="173"/>
        <v>21.45</v>
      </c>
      <c r="O1469" s="17">
        <v>21</v>
      </c>
      <c r="P1469" s="137">
        <f t="shared" si="171"/>
        <v>24.23076923076923</v>
      </c>
    </row>
    <row r="1470" spans="6:16" ht="19.5" thickBot="1">
      <c r="F1470" s="17">
        <v>21</v>
      </c>
      <c r="G1470" s="137">
        <f t="shared" si="172"/>
        <v>32.30769230769231</v>
      </c>
      <c r="K1470" s="17">
        <v>3</v>
      </c>
      <c r="L1470" s="137">
        <f t="shared" si="173"/>
        <v>1.95</v>
      </c>
      <c r="O1470" s="17">
        <v>2</v>
      </c>
      <c r="P1470" s="137">
        <f t="shared" si="171"/>
        <v>2.3076923076923075</v>
      </c>
    </row>
    <row r="1471" spans="6:16" ht="19.5" thickBot="1">
      <c r="F1471" s="17">
        <v>2</v>
      </c>
      <c r="G1471" s="137">
        <f t="shared" si="172"/>
        <v>3.076923076923077</v>
      </c>
      <c r="K1471" s="17">
        <v>222</v>
      </c>
      <c r="L1471" s="137">
        <f t="shared" si="173"/>
        <v>144.3</v>
      </c>
      <c r="O1471" s="17">
        <v>144</v>
      </c>
      <c r="P1471" s="137">
        <f t="shared" si="171"/>
        <v>166.15384615384616</v>
      </c>
    </row>
    <row r="1472" spans="6:16" ht="19.5" thickBot="1">
      <c r="F1472" s="17">
        <v>144</v>
      </c>
      <c r="G1472" s="137">
        <f t="shared" si="172"/>
        <v>221.53846153846155</v>
      </c>
      <c r="K1472" s="17">
        <v>200</v>
      </c>
      <c r="L1472" s="137">
        <f t="shared" si="173"/>
        <v>130</v>
      </c>
      <c r="O1472" s="17">
        <v>130</v>
      </c>
      <c r="P1472" s="137">
        <f t="shared" si="171"/>
        <v>150</v>
      </c>
    </row>
    <row r="1473" spans="6:16" ht="19.5" thickBot="1">
      <c r="F1473" s="17">
        <v>130</v>
      </c>
      <c r="G1473" s="137">
        <f t="shared" si="172"/>
        <v>200</v>
      </c>
      <c r="K1473" s="17">
        <v>5</v>
      </c>
      <c r="L1473" s="137">
        <f t="shared" si="173"/>
        <v>3.25</v>
      </c>
      <c r="O1473" s="17">
        <v>3</v>
      </c>
      <c r="P1473" s="137">
        <f t="shared" si="171"/>
        <v>3.4615384615384617</v>
      </c>
    </row>
    <row r="1474" spans="6:7" ht="19.5" thickBot="1">
      <c r="F1474" s="17">
        <v>3</v>
      </c>
      <c r="G1474" s="137">
        <f t="shared" si="172"/>
        <v>4.615384615384615</v>
      </c>
    </row>
    <row r="1478" ht="19.5" thickBot="1"/>
    <row r="1479" spans="2:12" ht="19.5" thickBot="1">
      <c r="B1479" s="16">
        <v>35</v>
      </c>
      <c r="C1479" s="36">
        <f aca="true" t="shared" si="174" ref="C1479:C1484">B1479*40/60</f>
        <v>23.333333333333332</v>
      </c>
      <c r="G1479" s="16">
        <v>69</v>
      </c>
      <c r="H1479" s="137">
        <f>G1479*135/150</f>
        <v>62.1</v>
      </c>
      <c r="K1479" s="16">
        <v>32</v>
      </c>
      <c r="L1479" s="137">
        <f>K1479*150/70</f>
        <v>68.57142857142857</v>
      </c>
    </row>
    <row r="1480" spans="2:15" ht="19.5" thickBot="1">
      <c r="B1480" s="17">
        <v>27</v>
      </c>
      <c r="C1480" s="36">
        <f t="shared" si="174"/>
        <v>18</v>
      </c>
      <c r="G1480" s="17">
        <v>103</v>
      </c>
      <c r="H1480" s="137">
        <f>G1480*135/150</f>
        <v>92.7</v>
      </c>
      <c r="K1480" s="17">
        <v>47</v>
      </c>
      <c r="L1480" s="137">
        <f aca="true" t="shared" si="175" ref="L1480:L1485">K1480*150/70</f>
        <v>100.71428571428571</v>
      </c>
      <c r="N1480" s="3">
        <v>40</v>
      </c>
      <c r="O1480" s="137">
        <f>N1480*25/60</f>
        <v>16.666666666666668</v>
      </c>
    </row>
    <row r="1481" spans="2:15" ht="19.5" thickBot="1">
      <c r="B1481" s="17">
        <v>9</v>
      </c>
      <c r="C1481" s="36">
        <f t="shared" si="174"/>
        <v>6</v>
      </c>
      <c r="G1481" s="17">
        <v>145</v>
      </c>
      <c r="H1481" s="137">
        <f>G1481*135/150</f>
        <v>130.5</v>
      </c>
      <c r="K1481" s="17">
        <v>23</v>
      </c>
      <c r="L1481" s="137">
        <f t="shared" si="175"/>
        <v>49.285714285714285</v>
      </c>
      <c r="N1481" s="4">
        <v>17</v>
      </c>
      <c r="O1481" s="137">
        <f aca="true" t="shared" si="176" ref="O1481:O1490">N1481*25/60</f>
        <v>7.083333333333333</v>
      </c>
    </row>
    <row r="1482" spans="2:15" ht="19.5" thickBot="1">
      <c r="B1482" s="17">
        <v>8</v>
      </c>
      <c r="C1482" s="36">
        <f t="shared" si="174"/>
        <v>5.333333333333333</v>
      </c>
      <c r="G1482" s="17">
        <v>5</v>
      </c>
      <c r="H1482" s="137">
        <f>G1482*135/150</f>
        <v>4.5</v>
      </c>
      <c r="K1482" s="17">
        <v>54</v>
      </c>
      <c r="L1482" s="137">
        <f t="shared" si="175"/>
        <v>115.71428571428571</v>
      </c>
      <c r="N1482" s="4">
        <v>10</v>
      </c>
      <c r="O1482" s="137">
        <f t="shared" si="176"/>
        <v>4.166666666666667</v>
      </c>
    </row>
    <row r="1483" spans="2:15" ht="19.5" thickBot="1">
      <c r="B1483" s="17">
        <v>5</v>
      </c>
      <c r="C1483" s="36">
        <f t="shared" si="174"/>
        <v>3.3333333333333335</v>
      </c>
      <c r="G1483" s="17">
        <v>150</v>
      </c>
      <c r="H1483" s="137">
        <f>G1483*135/150</f>
        <v>135</v>
      </c>
      <c r="K1483" s="17">
        <v>68</v>
      </c>
      <c r="L1483" s="137">
        <f t="shared" si="175"/>
        <v>145.71428571428572</v>
      </c>
      <c r="N1483" s="4"/>
      <c r="O1483" s="137">
        <f t="shared" si="176"/>
        <v>0</v>
      </c>
    </row>
    <row r="1484" spans="2:15" ht="19.5" thickBot="1">
      <c r="B1484" s="17">
        <v>60</v>
      </c>
      <c r="C1484" s="36">
        <f t="shared" si="174"/>
        <v>40</v>
      </c>
      <c r="K1484" s="17">
        <v>2</v>
      </c>
      <c r="L1484" s="137">
        <f t="shared" si="175"/>
        <v>4.285714285714286</v>
      </c>
      <c r="N1484" s="4">
        <v>6</v>
      </c>
      <c r="O1484" s="137">
        <f t="shared" si="176"/>
        <v>2.5</v>
      </c>
    </row>
    <row r="1485" spans="2:15" ht="19.5" thickBot="1">
      <c r="B1485" s="15">
        <v>60</v>
      </c>
      <c r="C1485" s="36">
        <f>B1485*40/60</f>
        <v>40</v>
      </c>
      <c r="K1485" s="17">
        <v>70</v>
      </c>
      <c r="L1485" s="137">
        <f t="shared" si="175"/>
        <v>150</v>
      </c>
      <c r="N1485" s="4">
        <v>6</v>
      </c>
      <c r="O1485" s="137">
        <f t="shared" si="176"/>
        <v>2.5</v>
      </c>
    </row>
    <row r="1486" spans="2:15" ht="19.5" thickBot="1">
      <c r="B1486" s="15">
        <v>17</v>
      </c>
      <c r="C1486" s="36">
        <f aca="true" t="shared" si="177" ref="C1486:C1497">B1486*40/60</f>
        <v>11.333333333333334</v>
      </c>
      <c r="N1486" s="4">
        <v>6</v>
      </c>
      <c r="O1486" s="137">
        <f t="shared" si="176"/>
        <v>2.5</v>
      </c>
    </row>
    <row r="1487" spans="2:15" ht="19.5" thickBot="1">
      <c r="B1487" s="15">
        <v>18</v>
      </c>
      <c r="C1487" s="36">
        <f t="shared" si="177"/>
        <v>12</v>
      </c>
      <c r="F1487" s="137">
        <v>8.2</v>
      </c>
      <c r="G1487" s="137">
        <v>7.5</v>
      </c>
      <c r="H1487" s="137">
        <v>51.6</v>
      </c>
      <c r="I1487" s="137">
        <v>321</v>
      </c>
      <c r="J1487" s="137">
        <v>0</v>
      </c>
      <c r="N1487" s="4">
        <v>3</v>
      </c>
      <c r="O1487" s="137">
        <f t="shared" si="176"/>
        <v>1.25</v>
      </c>
    </row>
    <row r="1488" spans="2:15" ht="19.5" thickBot="1">
      <c r="B1488" s="15">
        <v>13</v>
      </c>
      <c r="C1488" s="36">
        <f t="shared" si="177"/>
        <v>8.666666666666666</v>
      </c>
      <c r="F1488" s="126">
        <f>F1487*40/100</f>
        <v>3.28</v>
      </c>
      <c r="G1488" s="126">
        <f>G1487*40/100</f>
        <v>3</v>
      </c>
      <c r="H1488" s="126">
        <f>H1487*40/100</f>
        <v>20.64</v>
      </c>
      <c r="I1488" s="126">
        <f>I1487*40/100</f>
        <v>128.4</v>
      </c>
      <c r="J1488" s="126">
        <f>J1487*40/100</f>
        <v>0</v>
      </c>
      <c r="N1488" s="4">
        <v>0.06</v>
      </c>
      <c r="O1488" s="137">
        <f t="shared" si="176"/>
        <v>0.025</v>
      </c>
    </row>
    <row r="1489" spans="2:15" ht="19.5" thickBot="1">
      <c r="B1489" s="15">
        <v>6</v>
      </c>
      <c r="C1489" s="36">
        <f t="shared" si="177"/>
        <v>4</v>
      </c>
      <c r="N1489" s="4">
        <v>3</v>
      </c>
      <c r="O1489" s="137">
        <f t="shared" si="176"/>
        <v>1.25</v>
      </c>
    </row>
    <row r="1490" spans="2:15" ht="19.5" thickBot="1">
      <c r="B1490" s="15">
        <v>60</v>
      </c>
      <c r="C1490" s="36">
        <f t="shared" si="177"/>
        <v>40</v>
      </c>
      <c r="F1490" s="16">
        <v>16</v>
      </c>
      <c r="N1490" s="4">
        <v>60</v>
      </c>
      <c r="O1490" s="137">
        <f t="shared" si="176"/>
        <v>25</v>
      </c>
    </row>
    <row r="1491" spans="2:13" ht="19.5" thickBot="1">
      <c r="B1491" s="17">
        <v>4</v>
      </c>
      <c r="C1491" s="36">
        <f t="shared" si="177"/>
        <v>2.6666666666666665</v>
      </c>
      <c r="F1491" s="17">
        <v>17</v>
      </c>
      <c r="I1491" s="14">
        <v>43</v>
      </c>
      <c r="J1491" s="19">
        <v>4.04</v>
      </c>
      <c r="K1491" s="19">
        <v>8.43</v>
      </c>
      <c r="L1491" s="19">
        <v>74.67</v>
      </c>
      <c r="M1491" s="19">
        <v>4.35</v>
      </c>
    </row>
    <row r="1492" spans="2:13" ht="19.5" thickBot="1">
      <c r="B1492" s="17">
        <v>60</v>
      </c>
      <c r="C1492" s="36">
        <f t="shared" si="177"/>
        <v>40</v>
      </c>
      <c r="F1492" s="17">
        <v>18</v>
      </c>
      <c r="I1492" s="15">
        <v>43</v>
      </c>
      <c r="J1492" s="139">
        <f>J1491*25/60</f>
        <v>1.6833333333333333</v>
      </c>
      <c r="K1492" s="139">
        <f>K1491*25/60</f>
        <v>3.5125</v>
      </c>
      <c r="L1492" s="139">
        <f>L1491*25/60</f>
        <v>31.1125</v>
      </c>
      <c r="M1492" s="139">
        <f>M1491*25/60</f>
        <v>1.8124999999999998</v>
      </c>
    </row>
    <row r="1493" spans="2:9" ht="19.5" thickBot="1">
      <c r="B1493" s="17">
        <v>90</v>
      </c>
      <c r="C1493" s="36">
        <f t="shared" si="177"/>
        <v>60</v>
      </c>
      <c r="F1493" s="17">
        <v>19</v>
      </c>
      <c r="I1493" s="15">
        <v>15</v>
      </c>
    </row>
    <row r="1494" spans="2:9" ht="19.5" thickBot="1">
      <c r="B1494" s="4">
        <v>8</v>
      </c>
      <c r="C1494" s="36">
        <f t="shared" si="177"/>
        <v>5.333333333333333</v>
      </c>
      <c r="I1494" s="15">
        <v>1.9</v>
      </c>
    </row>
    <row r="1495" spans="2:9" ht="19.5" thickBot="1">
      <c r="B1495" s="4">
        <v>3</v>
      </c>
      <c r="C1495" s="36">
        <f t="shared" si="177"/>
        <v>2</v>
      </c>
      <c r="I1495" s="15">
        <v>7</v>
      </c>
    </row>
    <row r="1496" spans="2:9" ht="19.5" thickBot="1">
      <c r="B1496" s="4">
        <v>158</v>
      </c>
      <c r="C1496" s="36">
        <f t="shared" si="177"/>
        <v>105.33333333333333</v>
      </c>
      <c r="I1496" s="15">
        <v>0.05</v>
      </c>
    </row>
    <row r="1497" spans="2:10" ht="19.5" thickBot="1">
      <c r="B1497" s="4">
        <v>200</v>
      </c>
      <c r="C1497" s="36">
        <f t="shared" si="177"/>
        <v>133.33333333333334</v>
      </c>
      <c r="F1497" s="20">
        <v>0.58</v>
      </c>
      <c r="G1497" s="21">
        <v>4.9</v>
      </c>
      <c r="H1497" s="21">
        <v>2.26</v>
      </c>
      <c r="I1497" s="21">
        <v>55.2</v>
      </c>
      <c r="J1497" s="21">
        <v>10.08</v>
      </c>
    </row>
    <row r="1498" spans="6:10" ht="18.75">
      <c r="F1498" s="139">
        <f>F1497*40/60</f>
        <v>0.38666666666666666</v>
      </c>
      <c r="G1498" s="139">
        <f>G1497*40/60</f>
        <v>3.2666666666666666</v>
      </c>
      <c r="H1498" s="139">
        <f>H1497*40/60</f>
        <v>1.5066666666666666</v>
      </c>
      <c r="I1498" s="139">
        <f>I1497*40/60</f>
        <v>36.8</v>
      </c>
      <c r="J1498" s="139">
        <f>J1497*40/60</f>
        <v>6.72</v>
      </c>
    </row>
    <row r="1499" ht="19.5" thickBot="1">
      <c r="I1499" s="15">
        <v>60</v>
      </c>
    </row>
    <row r="1501" ht="19.5" thickBot="1"/>
    <row r="1502" spans="2:3" ht="19.5" thickBot="1">
      <c r="B1502" s="16">
        <v>82</v>
      </c>
      <c r="C1502" s="126">
        <f>B1502*60/90</f>
        <v>54.666666666666664</v>
      </c>
    </row>
    <row r="1503" spans="2:10" ht="19.5" thickBot="1">
      <c r="B1503" s="17">
        <v>102</v>
      </c>
      <c r="C1503" s="126">
        <f aca="true" t="shared" si="178" ref="C1503:C1526">B1503*60/90</f>
        <v>68</v>
      </c>
      <c r="F1503" s="14">
        <v>34</v>
      </c>
      <c r="G1503" s="136">
        <f>F1503*120/80</f>
        <v>51</v>
      </c>
      <c r="H1503" s="19">
        <v>7.84</v>
      </c>
      <c r="I1503" s="19">
        <v>37.6</v>
      </c>
      <c r="J1503" s="19">
        <v>8</v>
      </c>
    </row>
    <row r="1504" spans="2:10" ht="19.5" thickBot="1">
      <c r="B1504" s="17">
        <v>5</v>
      </c>
      <c r="C1504" s="126">
        <f t="shared" si="178"/>
        <v>3.3333333333333335</v>
      </c>
      <c r="F1504" s="15">
        <v>0.8</v>
      </c>
      <c r="G1504" s="136">
        <f aca="true" t="shared" si="179" ref="G1504:G1514">F1504*120/80</f>
        <v>1.2</v>
      </c>
      <c r="H1504" s="137">
        <f>H1503*85/80</f>
        <v>8.33</v>
      </c>
      <c r="I1504" s="137">
        <f>I1503*85/80</f>
        <v>39.95</v>
      </c>
      <c r="J1504" s="137">
        <f>J1503*85/80</f>
        <v>8.5</v>
      </c>
    </row>
    <row r="1505" spans="2:10" ht="19.5" thickBot="1">
      <c r="B1505" s="17">
        <v>4</v>
      </c>
      <c r="C1505" s="126">
        <f t="shared" si="178"/>
        <v>2.6666666666666665</v>
      </c>
      <c r="F1505" s="15">
        <v>25</v>
      </c>
      <c r="G1505" s="136">
        <f t="shared" si="179"/>
        <v>37.5</v>
      </c>
      <c r="H1505" s="134">
        <v>8.33</v>
      </c>
      <c r="I1505" s="134">
        <v>39.95</v>
      </c>
      <c r="J1505" s="134">
        <v>8.5</v>
      </c>
    </row>
    <row r="1506" spans="2:7" ht="19.5" thickBot="1">
      <c r="B1506" s="17"/>
      <c r="C1506" s="126">
        <f t="shared" si="178"/>
        <v>0</v>
      </c>
      <c r="F1506" s="15">
        <v>5</v>
      </c>
      <c r="G1506" s="136">
        <f t="shared" si="179"/>
        <v>7.5</v>
      </c>
    </row>
    <row r="1507" spans="2:7" ht="19.5" thickBot="1">
      <c r="B1507" s="17">
        <v>8</v>
      </c>
      <c r="C1507" s="126">
        <f t="shared" si="178"/>
        <v>5.333333333333333</v>
      </c>
      <c r="F1507" s="15">
        <v>0.8</v>
      </c>
      <c r="G1507" s="136">
        <f t="shared" si="179"/>
        <v>1.2</v>
      </c>
    </row>
    <row r="1508" spans="2:14" ht="19.5" thickBot="1">
      <c r="B1508" s="17">
        <v>8</v>
      </c>
      <c r="C1508" s="126">
        <f t="shared" si="178"/>
        <v>5.333333333333333</v>
      </c>
      <c r="F1508" s="15">
        <v>3</v>
      </c>
      <c r="G1508" s="136">
        <f t="shared" si="179"/>
        <v>4.5</v>
      </c>
      <c r="J1508" s="20">
        <v>0.4</v>
      </c>
      <c r="K1508" s="21">
        <v>0.3</v>
      </c>
      <c r="L1508" s="21">
        <v>10.3</v>
      </c>
      <c r="M1508" s="21">
        <v>47</v>
      </c>
      <c r="N1508" s="21">
        <v>5</v>
      </c>
    </row>
    <row r="1509" spans="2:14" ht="19.5" thickBot="1">
      <c r="B1509" s="17">
        <v>1.3</v>
      </c>
      <c r="C1509" s="126">
        <f t="shared" si="178"/>
        <v>0.8666666666666667</v>
      </c>
      <c r="F1509" s="15">
        <v>0.8</v>
      </c>
      <c r="G1509" s="136">
        <f t="shared" si="179"/>
        <v>1.2</v>
      </c>
      <c r="J1509" s="139">
        <f>J1508*85/100</f>
        <v>0.34</v>
      </c>
      <c r="K1509" s="139">
        <f>K1508*85/100</f>
        <v>0.255</v>
      </c>
      <c r="L1509" s="139">
        <f>L1508*85/100</f>
        <v>8.755</v>
      </c>
      <c r="M1509" s="139">
        <f>M1508*85/100</f>
        <v>39.95</v>
      </c>
      <c r="N1509" s="139">
        <f>N1508*85/100</f>
        <v>4.25</v>
      </c>
    </row>
    <row r="1510" spans="2:7" ht="19.5" thickBot="1">
      <c r="B1510" s="17">
        <v>1.5</v>
      </c>
      <c r="C1510" s="126">
        <f t="shared" si="178"/>
        <v>1</v>
      </c>
      <c r="F1510" s="15">
        <v>29</v>
      </c>
      <c r="G1510" s="136">
        <f t="shared" si="179"/>
        <v>43.5</v>
      </c>
    </row>
    <row r="1511" spans="2:7" ht="19.5" thickBot="1">
      <c r="B1511" s="17">
        <v>45</v>
      </c>
      <c r="C1511" s="126">
        <f t="shared" si="178"/>
        <v>30</v>
      </c>
      <c r="F1511" s="15">
        <v>2</v>
      </c>
      <c r="G1511" s="136">
        <f t="shared" si="179"/>
        <v>3</v>
      </c>
    </row>
    <row r="1512" spans="2:7" ht="19.5" thickBot="1">
      <c r="B1512" s="17">
        <v>45</v>
      </c>
      <c r="C1512" s="126">
        <f t="shared" si="178"/>
        <v>30</v>
      </c>
      <c r="F1512" s="15">
        <v>2</v>
      </c>
      <c r="G1512" s="136">
        <f t="shared" si="179"/>
        <v>3</v>
      </c>
    </row>
    <row r="1513" spans="2:7" ht="19.5" thickBot="1">
      <c r="B1513" s="15">
        <v>90</v>
      </c>
      <c r="C1513" s="126">
        <f t="shared" si="178"/>
        <v>60</v>
      </c>
      <c r="F1513" s="15">
        <v>86</v>
      </c>
      <c r="G1513" s="136">
        <f t="shared" si="179"/>
        <v>129</v>
      </c>
    </row>
    <row r="1514" spans="2:10" ht="19.5" thickBot="1">
      <c r="B1514" s="17">
        <v>10</v>
      </c>
      <c r="C1514" s="126">
        <f t="shared" si="178"/>
        <v>6.666666666666667</v>
      </c>
      <c r="F1514" s="15">
        <v>80</v>
      </c>
      <c r="G1514" s="136">
        <f t="shared" si="179"/>
        <v>120</v>
      </c>
      <c r="I1514" s="16">
        <v>20</v>
      </c>
      <c r="J1514" s="137">
        <f>I1514*60/100</f>
        <v>12</v>
      </c>
    </row>
    <row r="1515" spans="2:10" ht="19.5" thickBot="1">
      <c r="B1515" s="17">
        <v>10</v>
      </c>
      <c r="C1515" s="126">
        <f t="shared" si="178"/>
        <v>6.666666666666667</v>
      </c>
      <c r="I1515" s="17">
        <v>5</v>
      </c>
      <c r="J1515" s="137">
        <f aca="true" t="shared" si="180" ref="J1515:J1524">I1515*60/100</f>
        <v>3</v>
      </c>
    </row>
    <row r="1516" spans="2:10" ht="19.5" thickBot="1">
      <c r="B1516" s="17">
        <v>21</v>
      </c>
      <c r="C1516" s="126">
        <f t="shared" si="178"/>
        <v>14</v>
      </c>
      <c r="I1516" s="17">
        <v>0.6</v>
      </c>
      <c r="J1516" s="137">
        <f t="shared" si="180"/>
        <v>0.36</v>
      </c>
    </row>
    <row r="1517" spans="2:10" ht="19.5" thickBot="1">
      <c r="B1517" s="17">
        <v>90</v>
      </c>
      <c r="C1517" s="126">
        <f t="shared" si="178"/>
        <v>60</v>
      </c>
      <c r="I1517" s="17">
        <v>2</v>
      </c>
      <c r="J1517" s="137">
        <f t="shared" si="180"/>
        <v>1.2</v>
      </c>
    </row>
    <row r="1518" spans="2:10" ht="19.5" thickBot="1">
      <c r="B1518" s="17">
        <v>147</v>
      </c>
      <c r="C1518" s="126">
        <f t="shared" si="178"/>
        <v>98</v>
      </c>
      <c r="I1518" s="17">
        <v>8</v>
      </c>
      <c r="J1518" s="137">
        <f t="shared" si="180"/>
        <v>4.8</v>
      </c>
    </row>
    <row r="1519" spans="2:10" ht="19.5" thickBot="1">
      <c r="B1519" s="15">
        <v>2</v>
      </c>
      <c r="C1519" s="126">
        <f t="shared" si="178"/>
        <v>1.3333333333333333</v>
      </c>
      <c r="I1519" s="17">
        <v>4</v>
      </c>
      <c r="J1519" s="137">
        <f t="shared" si="180"/>
        <v>2.4</v>
      </c>
    </row>
    <row r="1520" spans="2:10" ht="19.5" thickBot="1">
      <c r="B1520" s="15">
        <v>38</v>
      </c>
      <c r="C1520" s="126">
        <f t="shared" si="178"/>
        <v>25.333333333333332</v>
      </c>
      <c r="I1520" s="17">
        <v>66</v>
      </c>
      <c r="J1520" s="137">
        <f t="shared" si="180"/>
        <v>39.6</v>
      </c>
    </row>
    <row r="1521" spans="2:10" ht="19.5" thickBot="1">
      <c r="B1521" s="15">
        <v>28</v>
      </c>
      <c r="C1521" s="126">
        <f t="shared" si="178"/>
        <v>18.666666666666668</v>
      </c>
      <c r="I1521" s="17">
        <v>10</v>
      </c>
      <c r="J1521" s="137">
        <f t="shared" si="180"/>
        <v>6</v>
      </c>
    </row>
    <row r="1522" spans="2:10" ht="19.5" thickBot="1">
      <c r="B1522" s="15">
        <v>200</v>
      </c>
      <c r="C1522" s="126">
        <f t="shared" si="178"/>
        <v>133.33333333333334</v>
      </c>
      <c r="I1522" s="17">
        <v>10</v>
      </c>
      <c r="J1522" s="137">
        <f t="shared" si="180"/>
        <v>6</v>
      </c>
    </row>
    <row r="1523" spans="2:10" ht="19.5" thickBot="1">
      <c r="B1523" s="15">
        <v>150</v>
      </c>
      <c r="C1523" s="126">
        <f t="shared" si="178"/>
        <v>100</v>
      </c>
      <c r="I1523" s="17">
        <v>1.2</v>
      </c>
      <c r="J1523" s="137">
        <f t="shared" si="180"/>
        <v>0.72</v>
      </c>
    </row>
    <row r="1524" spans="2:10" ht="19.5" thickBot="1">
      <c r="B1524" s="15">
        <v>8</v>
      </c>
      <c r="C1524" s="126">
        <f t="shared" si="178"/>
        <v>5.333333333333333</v>
      </c>
      <c r="I1524" s="17">
        <v>100</v>
      </c>
      <c r="J1524" s="137">
        <f t="shared" si="180"/>
        <v>60</v>
      </c>
    </row>
    <row r="1525" spans="2:3" ht="19.5" thickBot="1">
      <c r="B1525" s="15">
        <v>6</v>
      </c>
      <c r="C1525" s="126">
        <f t="shared" si="178"/>
        <v>4</v>
      </c>
    </row>
    <row r="1526" spans="2:3" ht="19.5" thickBot="1">
      <c r="B1526" s="15">
        <v>200</v>
      </c>
      <c r="C1526" s="126">
        <f t="shared" si="178"/>
        <v>133.33333333333334</v>
      </c>
    </row>
    <row r="1527" ht="18.75">
      <c r="C1527" s="126">
        <f>B1527*150/200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2018-07-03T03:21:03Z</cp:lastPrinted>
  <dcterms:created xsi:type="dcterms:W3CDTF">1996-10-08T23:32:33Z</dcterms:created>
  <dcterms:modified xsi:type="dcterms:W3CDTF">2020-06-04T07:41:58Z</dcterms:modified>
  <cp:category/>
  <cp:version/>
  <cp:contentType/>
  <cp:contentStatus/>
</cp:coreProperties>
</file>